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Sheet(Budget Breakdown)" sheetId="1" r:id="rId4"/>
    <sheet state="visible" name="Income Sheet(Sources Of Revenue" sheetId="2" r:id="rId5"/>
    <sheet state="visible" name="P&amp;L and PAT Ratio" sheetId="3" r:id="rId6"/>
    <sheet state="visible" name="Break Even and ROI" sheetId="4" r:id="rId7"/>
    <sheet state="visible" name="Balance Sheet and Shareholding " sheetId="5" r:id="rId8"/>
    <sheet state="visible" name="Cashflow Statement and Valuatio" sheetId="6" r:id="rId9"/>
    <sheet state="visible" name="Assumptions" sheetId="7" r:id="rId10"/>
  </sheets>
  <externalReferences>
    <externalReference r:id="rId11"/>
  </externalReferences>
  <definedNames/>
  <calcPr/>
  <extLst>
    <ext uri="GoogleSheetsCustomDataVersion1">
      <go:sheetsCustomData xmlns:go="http://customooxmlschemas.google.com/" r:id="rId12" roundtripDataSignature="AMtx7mgrC7e6jBmYMr52SkPkR7swCd+7sA=="/>
    </ext>
  </extLst>
</workbook>
</file>

<file path=xl/sharedStrings.xml><?xml version="1.0" encoding="utf-8"?>
<sst xmlns="http://schemas.openxmlformats.org/spreadsheetml/2006/main" count="496" uniqueCount="279">
  <si>
    <t>COST BREAKDOWN</t>
  </si>
  <si>
    <t>Headquarter</t>
  </si>
  <si>
    <t xml:space="preserve">Production Facility and Warehouse </t>
  </si>
  <si>
    <t>Contestant Salary</t>
  </si>
  <si>
    <t>Merchandise Costing</t>
  </si>
  <si>
    <t>Headquarters</t>
  </si>
  <si>
    <t>Cost</t>
  </si>
  <si>
    <t>Production Facility and Warehouse (Boston)</t>
  </si>
  <si>
    <t xml:space="preserve">Cost </t>
  </si>
  <si>
    <t>Contestant</t>
  </si>
  <si>
    <t>Salary</t>
  </si>
  <si>
    <t>Merchandise</t>
  </si>
  <si>
    <t>Office rent (1383sq ft)</t>
  </si>
  <si>
    <t>/yr</t>
  </si>
  <si>
    <t>Facility lease</t>
  </si>
  <si>
    <t>Mentors</t>
  </si>
  <si>
    <t>Tshirt</t>
  </si>
  <si>
    <t>Maintenance &amp; security</t>
  </si>
  <si>
    <t>Electricity, Water &amp; Gas supply</t>
  </si>
  <si>
    <t>Pro-Drivers</t>
  </si>
  <si>
    <t>Hoodies</t>
  </si>
  <si>
    <t>Project Managers</t>
  </si>
  <si>
    <t>Skilled labour (40 workers)</t>
  </si>
  <si>
    <t>Total</t>
  </si>
  <si>
    <t>Accessories</t>
  </si>
  <si>
    <t>R&amp;D Employees(5 workers)</t>
  </si>
  <si>
    <t>Per Quarter</t>
  </si>
  <si>
    <t>TOTAL</t>
  </si>
  <si>
    <t xml:space="preserve">Operations Employees(10 workers) </t>
  </si>
  <si>
    <t>Quality Control</t>
  </si>
  <si>
    <t xml:space="preserve">Total </t>
  </si>
  <si>
    <t>Office supplies</t>
  </si>
  <si>
    <t>Cost per quarter</t>
  </si>
  <si>
    <t>Guest Salary</t>
  </si>
  <si>
    <t>Guest Appearance</t>
  </si>
  <si>
    <t>Area = 22587sq ft</t>
  </si>
  <si>
    <t>Guest 1</t>
  </si>
  <si>
    <t>Track  Expenses</t>
  </si>
  <si>
    <t>Production House(Box to Box)</t>
  </si>
  <si>
    <t>Guest 2</t>
  </si>
  <si>
    <t>Event Facility (Track)</t>
  </si>
  <si>
    <t>Web Series Contract</t>
  </si>
  <si>
    <t>Guest 3</t>
  </si>
  <si>
    <t>Track Hire</t>
  </si>
  <si>
    <t>Fuel</t>
  </si>
  <si>
    <t>Winning Amount</t>
  </si>
  <si>
    <t>Crew and Drivers Stay</t>
  </si>
  <si>
    <t xml:space="preserve">Prize Pool </t>
  </si>
  <si>
    <t>Track Setup</t>
  </si>
  <si>
    <t>Fixed Assets</t>
  </si>
  <si>
    <t>Logistics Expenses</t>
  </si>
  <si>
    <t>One Time Costs</t>
  </si>
  <si>
    <t>Value Per Year</t>
  </si>
  <si>
    <t>Logistics</t>
  </si>
  <si>
    <t>Marketing Expenses</t>
  </si>
  <si>
    <t xml:space="preserve">Furnishing </t>
  </si>
  <si>
    <t>Inventory Management Cost</t>
  </si>
  <si>
    <t>Marketing</t>
  </si>
  <si>
    <t>Bought parts (CF, raw material)</t>
  </si>
  <si>
    <t>Production Facility And Warehouse</t>
  </si>
  <si>
    <t>Website</t>
  </si>
  <si>
    <t>Logistic Services</t>
  </si>
  <si>
    <t>Transportation Mode Shifting Cost</t>
  </si>
  <si>
    <t>Social Media And Content Marketing</t>
  </si>
  <si>
    <t>R&amp;D Equipments</t>
  </si>
  <si>
    <t>Distribution Cost</t>
  </si>
  <si>
    <t>Printing</t>
  </si>
  <si>
    <t>VD and Composites equipments</t>
  </si>
  <si>
    <t>Unpacking Logistics</t>
  </si>
  <si>
    <t>Paid Advertising</t>
  </si>
  <si>
    <t>Aero Package and Brakes</t>
  </si>
  <si>
    <t>Public Relations</t>
  </si>
  <si>
    <t>Electrical Harness and PCB</t>
  </si>
  <si>
    <t>SEO</t>
  </si>
  <si>
    <t>Engine</t>
  </si>
  <si>
    <t>Audience Research And Survey</t>
  </si>
  <si>
    <t>Computer and Software licensing</t>
  </si>
  <si>
    <t>TV Advertisement</t>
  </si>
  <si>
    <t>Yearly Breakdown</t>
  </si>
  <si>
    <t>Year 1</t>
  </si>
  <si>
    <t xml:space="preserve"> </t>
  </si>
  <si>
    <t xml:space="preserve">Quarter </t>
  </si>
  <si>
    <t>HQ</t>
  </si>
  <si>
    <t xml:space="preserve">Production </t>
  </si>
  <si>
    <t>Contestants</t>
  </si>
  <si>
    <t>Event</t>
  </si>
  <si>
    <t>Web series</t>
  </si>
  <si>
    <t>Prize Pool</t>
  </si>
  <si>
    <t>Quarter 1</t>
  </si>
  <si>
    <t>Quarter 2</t>
  </si>
  <si>
    <t>Quarter 3</t>
  </si>
  <si>
    <t>Quarter 4</t>
  </si>
  <si>
    <t>Year 2</t>
  </si>
  <si>
    <t>Year 3</t>
  </si>
  <si>
    <t>Year 4</t>
  </si>
  <si>
    <t>Year 5</t>
  </si>
  <si>
    <t>INCOME SHEET</t>
  </si>
  <si>
    <t>Revenue From Ticket Sales</t>
  </si>
  <si>
    <t>Revenue From Merchandise</t>
  </si>
  <si>
    <t>Revenue From Influencer Commision</t>
  </si>
  <si>
    <t>Week</t>
  </si>
  <si>
    <t>Audience</t>
  </si>
  <si>
    <t>Ticket Sales</t>
  </si>
  <si>
    <t>Category</t>
  </si>
  <si>
    <t>Influencer Commision</t>
  </si>
  <si>
    <t>WEEK 2</t>
  </si>
  <si>
    <t>Tshirts</t>
  </si>
  <si>
    <t>WEEK 1</t>
  </si>
  <si>
    <t>40% commision on 30k pounds of earning from 1mil views</t>
  </si>
  <si>
    <t>WEEK 3</t>
  </si>
  <si>
    <t>WEEK 5</t>
  </si>
  <si>
    <t>WEEK 6</t>
  </si>
  <si>
    <t>WEEK 4</t>
  </si>
  <si>
    <t>40% commision on 40k pounds of earning from 2mil views</t>
  </si>
  <si>
    <t>WEEK 7</t>
  </si>
  <si>
    <t>WEEK 8</t>
  </si>
  <si>
    <t>Revenue From Prime Video</t>
  </si>
  <si>
    <t>WEEK 9</t>
  </si>
  <si>
    <t>40% commision on 50k pounds of earning from 3mil views</t>
  </si>
  <si>
    <t>WEEK 10</t>
  </si>
  <si>
    <t>Hours Watched</t>
  </si>
  <si>
    <t>Hours</t>
  </si>
  <si>
    <t>Royalty</t>
  </si>
  <si>
    <t>Total Earnings</t>
  </si>
  <si>
    <t>0.05 pounds/hr for 35mil hours watched</t>
  </si>
  <si>
    <t>Prime Video</t>
  </si>
  <si>
    <t>Sources of Revenue</t>
  </si>
  <si>
    <t>PROFIT AND LOSS STATEMENT</t>
  </si>
  <si>
    <t>YEAR -&gt;</t>
  </si>
  <si>
    <t>NET SALES</t>
  </si>
  <si>
    <t>TOTAL EXPENDITURE</t>
  </si>
  <si>
    <t>EBITDA</t>
  </si>
  <si>
    <t>OTHER INCOME</t>
  </si>
  <si>
    <t>DEPRECIATION</t>
  </si>
  <si>
    <t>INTEREST</t>
  </si>
  <si>
    <t>Earnings Before Tax(EBT)</t>
  </si>
  <si>
    <t>PROFIT BEFORE TAX</t>
  </si>
  <si>
    <t>TAX</t>
  </si>
  <si>
    <t>Profit After Tax(PAT)</t>
  </si>
  <si>
    <t>NET PROFIT</t>
  </si>
  <si>
    <t>PAT RATIO</t>
  </si>
  <si>
    <t>PAT</t>
  </si>
  <si>
    <t>PAT Ratio</t>
  </si>
  <si>
    <t>PAT Margin</t>
  </si>
  <si>
    <t>BREAK EVEN ANALYSIS AND ROI(FOR INVESTORS)</t>
  </si>
  <si>
    <t>BREAK-EVEN</t>
  </si>
  <si>
    <t>Cumulative-&gt;</t>
  </si>
  <si>
    <t>Quarterly Revenue</t>
  </si>
  <si>
    <t>Quarterly Expenses</t>
  </si>
  <si>
    <t>Quarter Ended</t>
  </si>
  <si>
    <t>Total Revenue(Cumulative)</t>
  </si>
  <si>
    <t>Expense(cumulative)</t>
  </si>
  <si>
    <t>Expense+Tax(cumulative)</t>
  </si>
  <si>
    <t>Net loss(cumulative)</t>
  </si>
  <si>
    <t>Net Profit/Loss</t>
  </si>
  <si>
    <t>BREAK-EVEN GRAPH</t>
  </si>
  <si>
    <t>RETURN ON INVESTMENT</t>
  </si>
  <si>
    <t>YEAR</t>
  </si>
  <si>
    <t>ROI(%) P/Y</t>
  </si>
  <si>
    <t>30% EQUITY ROI(%) P/Y</t>
  </si>
  <si>
    <t>BALANCE SHEET AND SHAREHOLDING PATTERNS</t>
  </si>
  <si>
    <t>LIABILITIES</t>
  </si>
  <si>
    <t>a</t>
  </si>
  <si>
    <t>Share Capital</t>
  </si>
  <si>
    <t>b</t>
  </si>
  <si>
    <t>Share Premium</t>
  </si>
  <si>
    <t>c</t>
  </si>
  <si>
    <t>P&amp;L</t>
  </si>
  <si>
    <t>d = b + c</t>
  </si>
  <si>
    <t>Reserves &amp; Surplus</t>
  </si>
  <si>
    <t>e = a + d</t>
  </si>
  <si>
    <t>Shareholders Funds / Networth</t>
  </si>
  <si>
    <t>Borrowings</t>
  </si>
  <si>
    <t>Total Liabilities</t>
  </si>
  <si>
    <t>ASSETS</t>
  </si>
  <si>
    <t>Accumulated Depreciation</t>
  </si>
  <si>
    <t>Net Fixed Assets</t>
  </si>
  <si>
    <t>CWIP</t>
  </si>
  <si>
    <t>Investments</t>
  </si>
  <si>
    <t>Net Current Assets (excl. cash and bank balance)</t>
  </si>
  <si>
    <t>Cash &amp; Bank Balances</t>
  </si>
  <si>
    <t>Total Assets</t>
  </si>
  <si>
    <t>SHAREHOLDING PATTERNS(PRE AND POST FUNDRAISING)</t>
  </si>
  <si>
    <t>PRE-FUNDRAISING</t>
  </si>
  <si>
    <t>Category Of Shareholder</t>
  </si>
  <si>
    <t>No. Of Shareholders</t>
  </si>
  <si>
    <t xml:space="preserve">Investment </t>
  </si>
  <si>
    <t>Per Share Value</t>
  </si>
  <si>
    <t>Number Of Shares</t>
  </si>
  <si>
    <t>Percentage Holding</t>
  </si>
  <si>
    <t>Promotors</t>
  </si>
  <si>
    <t>Employees</t>
  </si>
  <si>
    <t>POST-FUNDRAISING</t>
  </si>
  <si>
    <t>Investors</t>
  </si>
  <si>
    <t>CASHFLOW STATEMENT AND VALUATION</t>
  </si>
  <si>
    <t>Year-&gt;</t>
  </si>
  <si>
    <t xml:space="preserve">OPERATING ACTIVITIES </t>
  </si>
  <si>
    <t>Net Earnings(EBITDA)</t>
  </si>
  <si>
    <t>Add: Depreciation</t>
  </si>
  <si>
    <t>Profit Before Working Cap Changes</t>
  </si>
  <si>
    <t>Less: Net Current Assets</t>
  </si>
  <si>
    <t>Cash flow from Operations</t>
  </si>
  <si>
    <t>Less:Tax</t>
  </si>
  <si>
    <t>Net Cash from Operating Activities</t>
  </si>
  <si>
    <t xml:space="preserve">INVESTING ACTIVITIES </t>
  </si>
  <si>
    <t xml:space="preserve">FINANCING ACTIVITIES </t>
  </si>
  <si>
    <t xml:space="preserve">Initial Investment </t>
  </si>
  <si>
    <t>Total Cash Flow</t>
  </si>
  <si>
    <t>VALUATION METHODOLOGY(DISCOUNTED CASHFLOW METHOD)</t>
  </si>
  <si>
    <t>EBIT</t>
  </si>
  <si>
    <t>PV= FCF*DISCOUNT FACTOR</t>
  </si>
  <si>
    <t>Less: Tax</t>
  </si>
  <si>
    <t>DISCOUNT FACTOR= 1/(1+DISCOUNT RATE)^N</t>
  </si>
  <si>
    <t>NOPAT</t>
  </si>
  <si>
    <t>PV= FCF/(1+DISCOUNT RATE)^N</t>
  </si>
  <si>
    <t>Less: Capex</t>
  </si>
  <si>
    <t>TERMINAL VALUE(GORDON GROWTH METHOD) = FCF5(1+g)/WACC-g</t>
  </si>
  <si>
    <t>Less: Change In NWC</t>
  </si>
  <si>
    <t>Free Cash FLow(FCF)</t>
  </si>
  <si>
    <t>Discount Factor</t>
  </si>
  <si>
    <t>PV</t>
  </si>
  <si>
    <t>WACC / CoE</t>
  </si>
  <si>
    <t>Terminal Value</t>
  </si>
  <si>
    <t>DCF(For 5 Year Projection)</t>
  </si>
  <si>
    <t>Terminal Growth Rate</t>
  </si>
  <si>
    <t>PV of TV</t>
  </si>
  <si>
    <t>DCF(Including Terminal Value)</t>
  </si>
  <si>
    <t>ASSUMPTIONS</t>
  </si>
  <si>
    <t>DESCRIPTION</t>
  </si>
  <si>
    <t>https://www.realla.co.uk/details/20375135</t>
  </si>
  <si>
    <t>Production facility and warehouse</t>
  </si>
  <si>
    <t>https://www.realla.co.uk/details/17934148</t>
  </si>
  <si>
    <t>https://www.thedrum.com/news/2019/04/08/why-brands-are-turning-amazon-prime-video-distribute-their-own-content</t>
  </si>
  <si>
    <t>Prime Video Branding</t>
  </si>
  <si>
    <t>https://brandequity.economictimes.indiatimes.com/news/business-of-brands/amazon-prime-video-partners-with-magicbricks/76370861</t>
  </si>
  <si>
    <t>Prime Video Tie-Up</t>
  </si>
  <si>
    <t>https://www.statista.com/statistics/486523/most-watched-itv-programs-in-the-uk/#:~:text=Most%2Dwatched%20ITV%20programs%20in%20the%20United%20Kingdom%20(UK)%202019&amp;text=This%20statistic%20shows%20the%20most,with%20over%2013%20million%20viewers.</t>
  </si>
  <si>
    <t xml:space="preserve">Web Series Hours Watched </t>
  </si>
  <si>
    <t>https://momofilmfest.com/amazon-cuts-prime-video-direct-rates-for-indie-filmmakers-again/</t>
  </si>
  <si>
    <t xml:space="preserve">Prime Video Royalty </t>
  </si>
  <si>
    <t>https://f1destinations.com/tickets-british-f1-grand-prix/</t>
  </si>
  <si>
    <t>Silverstone ticket price and audience</t>
  </si>
  <si>
    <t>https://www.silverstone.co.uk/events/2021-british-grand-prix-motogp/</t>
  </si>
  <si>
    <t>Silverstone stand packages</t>
  </si>
  <si>
    <t>https://www.renderforest.com/blog/how-much-do-youtubers-make</t>
  </si>
  <si>
    <t>Influencer Comission</t>
  </si>
  <si>
    <t>https://smallbusiness.chron.com/list-typical-marketing-expenses-23242.html</t>
  </si>
  <si>
    <t xml:space="preserve">Marketing </t>
  </si>
  <si>
    <t>https://www.contentfac.com/how-much-does-social-media-marketing-cost/</t>
  </si>
  <si>
    <t>Social Media Marketing</t>
  </si>
  <si>
    <t>https://drive.google.com/file/d/1vhEGc4Mur3HDyW1Z72Y5as-qpotMIgm4/view?usp=sharing</t>
  </si>
  <si>
    <t>Equipment Pricing</t>
  </si>
  <si>
    <t>https://www.eventmanagerblog.com/event-pricing-strategy#services</t>
  </si>
  <si>
    <t xml:space="preserve">Event Pricing </t>
  </si>
  <si>
    <t>https://www.toasttv.co.uk/tv-advertising-costs/#:~:text=Answer%3A%20There%20are%20two%20television,between%20%C2%A33%2C000%20%E2%80%93%20%C2%A34%2C000.</t>
  </si>
  <si>
    <t>TV Ad Cost</t>
  </si>
  <si>
    <t>https://mosimtec.com/types-of-logistic-costs/</t>
  </si>
  <si>
    <t>https://www.globalsignin.com/blog-events/elements-of-event-logistics/</t>
  </si>
  <si>
    <t>https://www.great.gov.uk/international/content/about-uk/why-choose-uk/tax-incentives/</t>
  </si>
  <si>
    <t>Tax Rate</t>
  </si>
  <si>
    <t>https://www.mbacrystalball.com/business-schools/uk/</t>
  </si>
  <si>
    <t>Employee Salary(Product Managers)</t>
  </si>
  <si>
    <t>https://www.theengineer.co.uk/engineer-salary-uk-2018/</t>
  </si>
  <si>
    <t>Employee Salary(R&amp;D Engineers)</t>
  </si>
  <si>
    <t>https://www.boxtoboxfilms.com/</t>
  </si>
  <si>
    <t>Box to Box</t>
  </si>
  <si>
    <t>http://www.facilityservicespartners.com/facility-costs/</t>
  </si>
  <si>
    <t>Maintenance and security</t>
  </si>
  <si>
    <t>https://massaroconsulting.com/2017/10/cost-of-quality/</t>
  </si>
  <si>
    <t>http://www.housingenergyadvisor.com/blog/installing-gas-in-your-home/</t>
  </si>
  <si>
    <t>Water and Gas Supply</t>
  </si>
  <si>
    <t>https://moneywise.com/a/how-much-do-reality-tv-stars-make#:~:text=Each%20season%20lasts%20for%2012,%241%2C000%20to%20%241%2C500%20per%20episode.</t>
  </si>
  <si>
    <t>https://www.expatica.com/uk/working/employment-law/minimum-wage-uk-982318/</t>
  </si>
  <si>
    <t>Skillled workers salary</t>
  </si>
  <si>
    <t>https://blog.bookingagentinfo.com/celebrity-appearance-and-fees/</t>
  </si>
  <si>
    <t>https://www.statista.com/statistics/515740/average-hotel-room-rate-in-uk-cities/</t>
  </si>
  <si>
    <t>Crew and driver stay cost</t>
  </si>
  <si>
    <t>https://www.bbc.com/news/business-21238363</t>
  </si>
  <si>
    <t>Fuel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</si>
</sst>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[$£]#,##0.00"/>
    <numFmt numFmtId="166" formatCode="[$£-452]#,##0.00"/>
    <numFmt numFmtId="167" formatCode="[$£]#,##0"/>
    <numFmt numFmtId="168" formatCode="[$£-452]#,##0.0"/>
    <numFmt numFmtId="169" formatCode="[$£-452]#,##0"/>
    <numFmt numFmtId="170" formatCode="0.000"/>
    <numFmt numFmtId="171" formatCode="0.0%"/>
  </numFmts>
  <fonts count="40">
    <font>
      <sz val="10.0"/>
      <color rgb="FF000000"/>
      <name val="Arial"/>
      <scheme val="minor"/>
    </font>
    <font>
      <b/>
      <u/>
      <sz val="48.0"/>
      <color theme="1"/>
      <name val="Arial"/>
    </font>
    <font>
      <b/>
      <u/>
      <sz val="48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  <font>
      <b/>
      <u/>
      <sz val="10.0"/>
      <color theme="1"/>
      <name val="Arial"/>
    </font>
    <font>
      <sz val="24.0"/>
      <color theme="1"/>
      <name val="Arial"/>
    </font>
    <font>
      <b/>
      <u/>
      <sz val="24.0"/>
      <color theme="1"/>
      <name val="Arial"/>
    </font>
    <font>
      <b/>
      <u/>
      <sz val="24.0"/>
      <color rgb="FF000000"/>
      <name val="Arial"/>
    </font>
    <font>
      <b/>
      <sz val="14.0"/>
      <color rgb="FF000000"/>
      <name val="Arial"/>
    </font>
    <font>
      <sz val="14.0"/>
      <color theme="1"/>
      <name val="Arial"/>
    </font>
    <font>
      <b/>
      <sz val="16.0"/>
      <color rgb="FF000000"/>
      <name val="Arial"/>
    </font>
    <font>
      <sz val="14.0"/>
      <color rgb="FF000000"/>
      <name val="Arial"/>
    </font>
    <font>
      <sz val="11.0"/>
      <color rgb="FF000000"/>
      <name val="Arial"/>
    </font>
    <font>
      <sz val="16.0"/>
      <color rgb="FF000000"/>
      <name val="Arial"/>
    </font>
    <font>
      <b/>
      <sz val="10.0"/>
      <color rgb="FF000000"/>
      <name val="Arial"/>
    </font>
    <font>
      <b/>
      <sz val="14.0"/>
      <color theme="1"/>
      <name val="Arial"/>
    </font>
    <font>
      <b/>
      <u/>
      <sz val="48.0"/>
      <color rgb="FF000000"/>
      <name val="Arial"/>
    </font>
    <font>
      <b/>
      <u/>
      <sz val="48.0"/>
      <color rgb="FF000000"/>
      <name val="Arial"/>
    </font>
    <font>
      <sz val="16.0"/>
      <color theme="1"/>
      <name val="Arial"/>
    </font>
    <font>
      <b/>
      <sz val="10.0"/>
      <color theme="1"/>
      <name val="Arial"/>
    </font>
    <font>
      <sz val="10.0"/>
      <color rgb="FFFFFFFF"/>
      <name val="Arial"/>
    </font>
    <font>
      <b/>
      <u/>
      <sz val="50.0"/>
      <color rgb="FF000000"/>
      <name val="Arial"/>
    </font>
    <font>
      <b/>
      <u/>
      <sz val="40.0"/>
      <color theme="1"/>
      <name val="Arial"/>
    </font>
    <font>
      <sz val="20.0"/>
      <color theme="1"/>
      <name val="Arial"/>
    </font>
    <font>
      <b/>
      <u/>
      <sz val="48.0"/>
      <color theme="1"/>
      <name val="Arial"/>
    </font>
    <font>
      <b/>
      <u/>
      <sz val="36.0"/>
      <color theme="1"/>
      <name val="Arial"/>
    </font>
    <font>
      <b/>
      <u/>
      <sz val="36.0"/>
      <color theme="1"/>
      <name val="Arial"/>
    </font>
    <font>
      <b/>
      <u/>
      <sz val="35.0"/>
      <color rgb="FF000000"/>
      <name val="Arial"/>
    </font>
    <font>
      <b/>
      <u/>
      <sz val="18.0"/>
      <color theme="1"/>
      <name val="Arial"/>
    </font>
    <font>
      <b/>
      <u/>
      <sz val="40.0"/>
      <color rgb="FF000000"/>
      <name val="Arial"/>
    </font>
    <font>
      <b/>
      <u/>
      <sz val="36.0"/>
      <color theme="1"/>
      <name val="Arial"/>
    </font>
    <font>
      <sz val="10.0"/>
      <color rgb="FFFF0000"/>
      <name val="Arial"/>
    </font>
    <font>
      <u/>
      <sz val="36.0"/>
      <color theme="1"/>
      <name val="Arial"/>
    </font>
    <font>
      <b/>
      <sz val="16.0"/>
      <color theme="1"/>
      <name val="Arial"/>
    </font>
    <font>
      <b/>
      <u/>
      <sz val="24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7">
    <border/>
    <border>
      <left/>
      <right/>
      <top/>
      <bottom/>
    </border>
    <border>
      <left/>
      <top/>
    </border>
    <border>
      <top/>
    </border>
    <border>
      <left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vertical="center"/>
    </xf>
    <xf borderId="4" fillId="0" fontId="3" numFmtId="0" xfId="0" applyBorder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1" fillId="2" fontId="9" numFmtId="0" xfId="0" applyAlignment="1" applyBorder="1" applyFont="1">
      <alignment horizontal="left"/>
    </xf>
    <xf borderId="1" fillId="3" fontId="10" numFmtId="0" xfId="0" applyAlignment="1" applyBorder="1" applyFill="1" applyFont="1">
      <alignment vertical="center"/>
    </xf>
    <xf borderId="1" fillId="3" fontId="10" numFmtId="164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vertical="center"/>
    </xf>
    <xf borderId="1" fillId="3" fontId="12" numFmtId="0" xfId="0" applyAlignment="1" applyBorder="1" applyFont="1">
      <alignment vertical="center"/>
    </xf>
    <xf borderId="1" fillId="3" fontId="12" numFmtId="164" xfId="0" applyAlignment="1" applyBorder="1" applyFont="1" applyNumberFormat="1">
      <alignment horizontal="center" vertical="center"/>
    </xf>
    <xf borderId="1" fillId="4" fontId="13" numFmtId="0" xfId="0" applyAlignment="1" applyBorder="1" applyFill="1" applyFont="1">
      <alignment vertical="center"/>
    </xf>
    <xf borderId="1" fillId="4" fontId="13" numFmtId="165" xfId="0" applyAlignment="1" applyBorder="1" applyFont="1" applyNumberFormat="1">
      <alignment horizontal="right" vertical="center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1" fillId="4" fontId="15" numFmtId="0" xfId="0" applyAlignment="1" applyBorder="1" applyFont="1">
      <alignment vertical="center"/>
    </xf>
    <xf borderId="1" fillId="4" fontId="15" numFmtId="165" xfId="0" applyAlignment="1" applyBorder="1" applyFont="1" applyNumberFormat="1">
      <alignment horizontal="right" vertical="center"/>
    </xf>
    <xf borderId="1" fillId="2" fontId="14" numFmtId="166" xfId="0" applyAlignment="1" applyBorder="1" applyFont="1" applyNumberFormat="1">
      <alignment vertical="center"/>
    </xf>
    <xf borderId="1" fillId="4" fontId="11" numFmtId="0" xfId="0" applyAlignment="1" applyBorder="1" applyFont="1">
      <alignment vertical="center"/>
    </xf>
    <xf borderId="1" fillId="4" fontId="10" numFmtId="165" xfId="0" applyAlignment="1" applyBorder="1" applyFont="1" applyNumberFormat="1">
      <alignment horizontal="right" vertical="center"/>
    </xf>
    <xf borderId="1" fillId="2" fontId="4" numFmtId="0" xfId="0" applyAlignment="1" applyBorder="1" applyFont="1">
      <alignment vertical="center"/>
    </xf>
    <xf borderId="1" fillId="4" fontId="12" numFmtId="0" xfId="0" applyAlignment="1" applyBorder="1" applyFont="1">
      <alignment vertical="center"/>
    </xf>
    <xf borderId="1" fillId="4" fontId="12" numFmtId="165" xfId="0" applyAlignment="1" applyBorder="1" applyFont="1" applyNumberFormat="1">
      <alignment horizontal="right" vertical="center"/>
    </xf>
    <xf borderId="1" fillId="2" fontId="4" numFmtId="165" xfId="0" applyAlignment="1" applyBorder="1" applyFont="1" applyNumberFormat="1">
      <alignment vertical="center"/>
    </xf>
    <xf borderId="1" fillId="4" fontId="10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1" fillId="2" fontId="16" numFmtId="165" xfId="0" applyAlignment="1" applyBorder="1" applyFont="1" applyNumberFormat="1">
      <alignment horizontal="right" vertical="center"/>
    </xf>
    <xf borderId="1" fillId="4" fontId="17" numFmtId="0" xfId="0" applyAlignment="1" applyBorder="1" applyFont="1">
      <alignment vertical="center"/>
    </xf>
    <xf borderId="1" fillId="3" fontId="10" numFmtId="0" xfId="0" applyBorder="1" applyFont="1"/>
    <xf borderId="1" fillId="3" fontId="10" numFmtId="164" xfId="0" applyAlignment="1" applyBorder="1" applyFont="1" applyNumberFormat="1">
      <alignment horizontal="center"/>
    </xf>
    <xf borderId="1" fillId="4" fontId="13" numFmtId="165" xfId="0" applyAlignment="1" applyBorder="1" applyFont="1" applyNumberFormat="1">
      <alignment vertical="center"/>
    </xf>
    <xf borderId="1" fillId="4" fontId="13" numFmtId="0" xfId="0" applyBorder="1" applyFont="1"/>
    <xf borderId="1" fillId="4" fontId="13" numFmtId="165" xfId="0" applyAlignment="1" applyBorder="1" applyFont="1" applyNumberFormat="1">
      <alignment horizontal="right"/>
    </xf>
    <xf borderId="1" fillId="4" fontId="13" numFmtId="0" xfId="0" applyAlignment="1" applyBorder="1" applyFont="1">
      <alignment shrinkToFit="0" vertical="center" wrapText="1"/>
    </xf>
    <xf borderId="1" fillId="4" fontId="13" numFmtId="165" xfId="0" applyAlignment="1" applyBorder="1" applyFont="1" applyNumberFormat="1">
      <alignment horizontal="left" vertical="center"/>
    </xf>
    <xf borderId="1" fillId="4" fontId="10" numFmtId="0" xfId="0" applyBorder="1" applyFont="1"/>
    <xf borderId="1" fillId="4" fontId="10" numFmtId="164" xfId="0" applyAlignment="1" applyBorder="1" applyFont="1" applyNumberFormat="1">
      <alignment horizontal="right"/>
    </xf>
    <xf borderId="2" fillId="2" fontId="18" numFmtId="0" xfId="0" applyAlignment="1" applyBorder="1" applyFont="1">
      <alignment horizontal="left" vertical="center"/>
    </xf>
    <xf borderId="1" fillId="2" fontId="19" numFmtId="0" xfId="0" applyAlignment="1" applyBorder="1" applyFont="1">
      <alignment horizontal="left" vertical="center"/>
    </xf>
    <xf borderId="1" fillId="4" fontId="10" numFmtId="0" xfId="0" applyAlignment="1" applyBorder="1" applyFont="1">
      <alignment horizontal="left" vertical="center"/>
    </xf>
    <xf borderId="1" fillId="2" fontId="11" numFmtId="0" xfId="0" applyBorder="1" applyFont="1"/>
    <xf borderId="1" fillId="2" fontId="11" numFmtId="164" xfId="0" applyAlignment="1" applyBorder="1" applyFont="1" applyNumberFormat="1">
      <alignment vertical="center"/>
    </xf>
    <xf borderId="1" fillId="2" fontId="13" numFmtId="164" xfId="0" applyAlignment="1" applyBorder="1" applyFont="1" applyNumberFormat="1">
      <alignment vertical="center"/>
    </xf>
    <xf borderId="1" fillId="3" fontId="10" numFmtId="0" xfId="0" applyAlignment="1" applyBorder="1" applyFont="1">
      <alignment horizontal="left" vertical="center"/>
    </xf>
    <xf borderId="1" fillId="3" fontId="10" numFmtId="0" xfId="0" applyAlignment="1" applyBorder="1" applyFont="1">
      <alignment horizontal="center" vertical="center"/>
    </xf>
    <xf borderId="1" fillId="4" fontId="13" numFmtId="165" xfId="0" applyAlignment="1" applyBorder="1" applyFont="1" applyNumberFormat="1">
      <alignment horizontal="center" vertical="center"/>
    </xf>
    <xf borderId="1" fillId="4" fontId="10" numFmtId="165" xfId="0" applyAlignment="1" applyBorder="1" applyFont="1" applyNumberFormat="1">
      <alignment horizontal="center" vertical="center"/>
    </xf>
    <xf borderId="1" fillId="3" fontId="17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/>
    </xf>
    <xf borderId="1" fillId="2" fontId="20" numFmtId="0" xfId="0" applyBorder="1" applyFont="1"/>
    <xf borderId="1" fillId="2" fontId="20" numFmtId="164" xfId="0" applyAlignment="1" applyBorder="1" applyFont="1" applyNumberFormat="1">
      <alignment vertical="center"/>
    </xf>
    <xf borderId="1" fillId="2" fontId="20" numFmtId="0" xfId="0" applyAlignment="1" applyBorder="1" applyFont="1">
      <alignment vertical="center"/>
    </xf>
    <xf borderId="1" fillId="2" fontId="15" numFmtId="164" xfId="0" applyAlignment="1" applyBorder="1" applyFont="1" applyNumberFormat="1">
      <alignment vertical="center"/>
    </xf>
    <xf borderId="1" fillId="2" fontId="16" numFmtId="0" xfId="0" applyAlignment="1" applyBorder="1" applyFont="1">
      <alignment vertical="center"/>
    </xf>
    <xf borderId="1" fillId="2" fontId="21" numFmtId="0" xfId="0" applyAlignment="1" applyBorder="1" applyFont="1">
      <alignment vertical="center"/>
    </xf>
    <xf borderId="1" fillId="2" fontId="5" numFmtId="165" xfId="0" applyAlignment="1" applyBorder="1" applyFont="1" applyNumberFormat="1">
      <alignment horizontal="center" vertical="center"/>
    </xf>
    <xf borderId="1" fillId="2" fontId="4" numFmtId="165" xfId="0" applyAlignment="1" applyBorder="1" applyFont="1" applyNumberFormat="1">
      <alignment horizontal="center" vertical="center"/>
    </xf>
    <xf borderId="1" fillId="2" fontId="22" numFmtId="0" xfId="0" applyAlignment="1" applyBorder="1" applyFont="1">
      <alignment vertical="center"/>
    </xf>
    <xf borderId="1" fillId="2" fontId="5" numFmtId="0" xfId="0" applyAlignment="1" applyBorder="1" applyFont="1">
      <alignment horizontal="right" vertical="center"/>
    </xf>
    <xf borderId="1" fillId="2" fontId="5" numFmtId="165" xfId="0" applyAlignment="1" applyBorder="1" applyFont="1" applyNumberFormat="1">
      <alignment horizontal="right" vertical="center"/>
    </xf>
    <xf borderId="1" fillId="2" fontId="5" numFmtId="10" xfId="0" applyAlignment="1" applyBorder="1" applyFont="1" applyNumberFormat="1">
      <alignment horizontal="right" vertical="center"/>
    </xf>
    <xf borderId="1" fillId="2" fontId="5" numFmtId="164" xfId="0" applyAlignment="1" applyBorder="1" applyFont="1" applyNumberFormat="1">
      <alignment horizontal="right" vertical="center"/>
    </xf>
    <xf borderId="2" fillId="2" fontId="23" numFmtId="0" xfId="0" applyAlignment="1" applyBorder="1" applyFont="1">
      <alignment horizontal="left" vertical="center"/>
    </xf>
    <xf borderId="1" fillId="3" fontId="21" numFmtId="0" xfId="0" applyAlignment="1" applyBorder="1" applyFont="1">
      <alignment vertical="center"/>
    </xf>
    <xf borderId="1" fillId="3" fontId="16" numFmtId="0" xfId="0" applyAlignment="1" applyBorder="1" applyFont="1">
      <alignment horizontal="center" vertical="center"/>
    </xf>
    <xf borderId="1" fillId="3" fontId="21" numFmtId="0" xfId="0" applyAlignment="1" applyBorder="1" applyFont="1">
      <alignment horizontal="center" vertical="center"/>
    </xf>
    <xf borderId="1" fillId="3" fontId="16" numFmtId="0" xfId="0" applyAlignment="1" applyBorder="1" applyFont="1">
      <alignment vertical="center"/>
    </xf>
    <xf borderId="5" fillId="3" fontId="16" numFmtId="0" xfId="0" applyAlignment="1" applyBorder="1" applyFont="1">
      <alignment horizontal="center" vertical="center"/>
    </xf>
    <xf borderId="6" fillId="0" fontId="3" numFmtId="0" xfId="0" applyBorder="1" applyFont="1"/>
    <xf borderId="1" fillId="4" fontId="4" numFmtId="0" xfId="0" applyAlignment="1" applyBorder="1" applyFont="1">
      <alignment vertical="center"/>
    </xf>
    <xf borderId="1" fillId="4" fontId="5" numFmtId="0" xfId="0" applyAlignment="1" applyBorder="1" applyFont="1">
      <alignment horizontal="center" vertical="center"/>
    </xf>
    <xf borderId="1" fillId="4" fontId="5" numFmtId="165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2" fontId="21" numFmtId="0" xfId="0" applyBorder="1" applyFont="1"/>
    <xf borderId="1" fillId="4" fontId="21" numFmtId="0" xfId="0" applyAlignment="1" applyBorder="1" applyFont="1">
      <alignment horizontal="center" vertical="center"/>
    </xf>
    <xf borderId="1" fillId="4" fontId="16" numFmtId="165" xfId="0" applyAlignment="1" applyBorder="1" applyFont="1" applyNumberFormat="1">
      <alignment horizontal="center" vertical="center"/>
    </xf>
    <xf borderId="1" fillId="4" fontId="16" numFmtId="0" xfId="0" applyAlignment="1" applyBorder="1" applyFont="1">
      <alignment vertical="center"/>
    </xf>
    <xf borderId="1" fillId="4" fontId="16" numFmtId="0" xfId="0" applyAlignment="1" applyBorder="1" applyFont="1">
      <alignment horizontal="center" vertical="center"/>
    </xf>
    <xf borderId="1" fillId="4" fontId="21" numFmtId="0" xfId="0" applyAlignment="1" applyBorder="1" applyFont="1">
      <alignment vertical="center"/>
    </xf>
    <xf borderId="1" fillId="4" fontId="21" numFmtId="165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/>
    </xf>
    <xf borderId="2" fillId="2" fontId="24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1" fillId="2" fontId="21" numFmtId="0" xfId="0" applyAlignment="1" applyBorder="1" applyFont="1">
      <alignment horizontal="center" vertical="center"/>
    </xf>
    <xf borderId="1" fillId="2" fontId="25" numFmtId="0" xfId="0" applyBorder="1" applyFont="1"/>
    <xf borderId="1" fillId="2" fontId="26" numFmtId="0" xfId="0" applyAlignment="1" applyBorder="1" applyFont="1">
      <alignment horizontal="center" vertical="center"/>
    </xf>
    <xf borderId="1" fillId="2" fontId="5" numFmtId="0" xfId="0" applyAlignment="1" applyBorder="1" applyFont="1">
      <alignment shrinkToFit="0" vertical="center" wrapText="1"/>
    </xf>
    <xf borderId="1" fillId="3" fontId="21" numFmtId="0" xfId="0" applyAlignment="1" applyBorder="1" applyFont="1">
      <alignment horizontal="center" shrinkToFit="0" vertical="center" wrapText="1"/>
    </xf>
    <xf borderId="1" fillId="4" fontId="4" numFmtId="167" xfId="0" applyAlignment="1" applyBorder="1" applyFont="1" applyNumberFormat="1">
      <alignment horizontal="center" vertical="center"/>
    </xf>
    <xf borderId="1" fillId="2" fontId="4" numFmtId="165" xfId="0" applyAlignment="1" applyBorder="1" applyFont="1" applyNumberFormat="1">
      <alignment horizontal="center" shrinkToFit="0" vertical="center" wrapText="1"/>
    </xf>
    <xf borderId="1" fillId="2" fontId="21" numFmtId="0" xfId="0" applyAlignment="1" applyBorder="1" applyFont="1">
      <alignment horizontal="center" shrinkToFit="0" vertical="center" wrapText="1"/>
    </xf>
    <xf borderId="1" fillId="5" fontId="21" numFmtId="0" xfId="0" applyAlignment="1" applyBorder="1" applyFill="1" applyFont="1">
      <alignment horizontal="center" shrinkToFit="0" vertical="center" wrapText="1"/>
    </xf>
    <xf borderId="1" fillId="4" fontId="21" numFmtId="167" xfId="0" applyAlignment="1" applyBorder="1" applyFont="1" applyNumberFormat="1">
      <alignment horizontal="center" vertical="center"/>
    </xf>
    <xf borderId="1" fillId="2" fontId="21" numFmtId="0" xfId="0" applyAlignment="1" applyBorder="1" applyFont="1">
      <alignment horizontal="center"/>
    </xf>
    <xf borderId="1" fillId="2" fontId="5" numFmtId="10" xfId="0" applyAlignment="1" applyBorder="1" applyFont="1" applyNumberFormat="1">
      <alignment horizontal="center" vertical="center"/>
    </xf>
    <xf borderId="2" fillId="2" fontId="27" numFmtId="0" xfId="0" applyAlignment="1" applyBorder="1" applyFont="1">
      <alignment vertical="center"/>
    </xf>
    <xf borderId="1" fillId="4" fontId="21" numFmtId="2" xfId="0" applyAlignment="1" applyBorder="1" applyFont="1" applyNumberFormat="1">
      <alignment horizontal="center" vertical="center"/>
    </xf>
    <xf borderId="1" fillId="4" fontId="21" numFmtId="10" xfId="0" applyAlignment="1" applyBorder="1" applyFont="1" applyNumberFormat="1">
      <alignment horizontal="center" vertical="center"/>
    </xf>
    <xf borderId="1" fillId="2" fontId="28" numFmtId="0" xfId="0" applyAlignment="1" applyBorder="1" applyFont="1">
      <alignment vertical="center"/>
    </xf>
    <xf borderId="2" fillId="2" fontId="29" numFmtId="0" xfId="0" applyAlignment="1" applyBorder="1" applyFont="1">
      <alignment horizontal="left" vertical="center"/>
    </xf>
    <xf borderId="1" fillId="2" fontId="30" numFmtId="0" xfId="0" applyAlignment="1" applyBorder="1" applyFont="1">
      <alignment vertical="center"/>
    </xf>
    <xf borderId="1" fillId="4" fontId="5" numFmtId="165" xfId="0" applyAlignment="1" applyBorder="1" applyFont="1" applyNumberFormat="1">
      <alignment horizontal="right" vertical="center"/>
    </xf>
    <xf borderId="1" fillId="4" fontId="4" numFmtId="165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vertical="center"/>
    </xf>
    <xf borderId="1" fillId="4" fontId="4" numFmtId="0" xfId="0" applyBorder="1" applyFont="1"/>
    <xf borderId="2" fillId="2" fontId="31" numFmtId="0" xfId="0" applyAlignment="1" applyBorder="1" applyFont="1">
      <alignment horizontal="left" vertical="center"/>
    </xf>
    <xf borderId="1" fillId="2" fontId="32" numFmtId="0" xfId="0" applyAlignment="1" applyBorder="1" applyFont="1">
      <alignment horizontal="left" vertical="center"/>
    </xf>
    <xf borderId="1" fillId="5" fontId="1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4" fontId="5" numFmtId="166" xfId="0" applyAlignment="1" applyBorder="1" applyFont="1" applyNumberFormat="1">
      <alignment horizontal="center" vertical="center"/>
    </xf>
    <xf borderId="1" fillId="2" fontId="33" numFmtId="0" xfId="0" applyAlignment="1" applyBorder="1" applyFont="1">
      <alignment shrinkToFit="0" vertical="center" wrapText="1"/>
    </xf>
    <xf borderId="1" fillId="4" fontId="5" numFmtId="168" xfId="0" applyAlignment="1" applyBorder="1" applyFont="1" applyNumberFormat="1">
      <alignment horizontal="center" vertical="center"/>
    </xf>
    <xf borderId="1" fillId="4" fontId="16" numFmtId="166" xfId="0" applyAlignment="1" applyBorder="1" applyFont="1" applyNumberFormat="1">
      <alignment horizontal="center" vertical="center"/>
    </xf>
    <xf borderId="1" fillId="3" fontId="16" numFmtId="0" xfId="0" applyAlignment="1" applyBorder="1" applyFont="1">
      <alignment horizontal="center" shrinkToFit="0" vertical="center" wrapText="1"/>
    </xf>
    <xf borderId="1" fillId="4" fontId="4" numFmtId="3" xfId="0" applyAlignment="1" applyBorder="1" applyFont="1" applyNumberFormat="1">
      <alignment horizontal="center" vertical="center"/>
    </xf>
    <xf borderId="1" fillId="4" fontId="4" numFmtId="9" xfId="0" applyAlignment="1" applyBorder="1" applyFont="1" applyNumberFormat="1">
      <alignment horizontal="center" vertical="center"/>
    </xf>
    <xf borderId="1" fillId="4" fontId="5" numFmtId="9" xfId="0" applyAlignment="1" applyBorder="1" applyFont="1" applyNumberFormat="1">
      <alignment horizontal="center" vertical="center"/>
    </xf>
    <xf borderId="1" fillId="4" fontId="21" numFmtId="3" xfId="0" applyAlignment="1" applyBorder="1" applyFont="1" applyNumberFormat="1">
      <alignment horizontal="center" vertical="center"/>
    </xf>
    <xf borderId="1" fillId="4" fontId="16" numFmtId="9" xfId="0" applyAlignment="1" applyBorder="1" applyFont="1" applyNumberFormat="1">
      <alignment horizontal="center" vertical="center"/>
    </xf>
    <xf borderId="1" fillId="4" fontId="4" numFmtId="167" xfId="0" applyAlignment="1" applyBorder="1" applyFont="1" applyNumberFormat="1">
      <alignment horizontal="center" readingOrder="0" vertical="center"/>
    </xf>
    <xf borderId="1" fillId="2" fontId="34" numFmtId="0" xfId="0" applyAlignment="1" applyBorder="1" applyFont="1">
      <alignment vertical="center"/>
    </xf>
    <xf borderId="5" fillId="5" fontId="35" numFmtId="0" xfId="0" applyAlignment="1" applyBorder="1" applyFont="1">
      <alignment horizontal="left" vertical="center"/>
    </xf>
    <xf borderId="1" fillId="4" fontId="5" numFmtId="167" xfId="0" applyAlignment="1" applyBorder="1" applyFont="1" applyNumberFormat="1">
      <alignment horizontal="center" vertical="center"/>
    </xf>
    <xf borderId="1" fillId="4" fontId="21" numFmtId="167" xfId="0" applyAlignment="1" applyBorder="1" applyFont="1" applyNumberFormat="1">
      <alignment horizontal="center"/>
    </xf>
    <xf borderId="1" fillId="3" fontId="21" numFmtId="169" xfId="0" applyAlignment="1" applyBorder="1" applyFont="1" applyNumberFormat="1">
      <alignment horizontal="center" shrinkToFit="0" vertical="center" wrapText="1"/>
    </xf>
    <xf borderId="1" fillId="4" fontId="21" numFmtId="169" xfId="0" applyAlignment="1" applyBorder="1" applyFont="1" applyNumberFormat="1">
      <alignment horizontal="center" vertical="center"/>
    </xf>
    <xf borderId="5" fillId="5" fontId="35" numFmtId="169" xfId="0" applyAlignment="1" applyBorder="1" applyFont="1" applyNumberFormat="1">
      <alignment horizontal="left" vertical="center"/>
    </xf>
    <xf borderId="1" fillId="4" fontId="16" numFmtId="169" xfId="0" applyAlignment="1" applyBorder="1" applyFont="1" applyNumberFormat="1">
      <alignment horizontal="center" vertical="center"/>
    </xf>
    <xf borderId="1" fillId="5" fontId="21" numFmtId="169" xfId="0" applyAlignment="1" applyBorder="1" applyFont="1" applyNumberFormat="1">
      <alignment horizontal="center" shrinkToFit="0" vertical="center" wrapText="1"/>
    </xf>
    <xf borderId="2" fillId="2" fontId="36" numFmtId="0" xfId="0" applyAlignment="1" applyBorder="1" applyFont="1">
      <alignment vertical="center"/>
    </xf>
    <xf borderId="1" fillId="2" fontId="16" numFmtId="0" xfId="0" applyAlignment="1" applyBorder="1" applyFont="1">
      <alignment horizontal="center" vertical="center"/>
    </xf>
    <xf borderId="1" fillId="4" fontId="5" numFmtId="3" xfId="0" applyAlignment="1" applyBorder="1" applyFont="1" applyNumberFormat="1">
      <alignment horizontal="center" vertical="center"/>
    </xf>
    <xf borderId="1" fillId="4" fontId="16" numFmtId="170" xfId="0" applyAlignment="1" applyBorder="1" applyFont="1" applyNumberFormat="1">
      <alignment horizontal="center" vertical="center"/>
    </xf>
    <xf borderId="1" fillId="2" fontId="16" numFmtId="170" xfId="0" applyAlignment="1" applyBorder="1" applyFont="1" applyNumberFormat="1">
      <alignment horizontal="center" vertical="center"/>
    </xf>
    <xf borderId="1" fillId="4" fontId="16" numFmtId="171" xfId="0" applyAlignment="1" applyBorder="1" applyFont="1" applyNumberFormat="1">
      <alignment horizontal="center" vertical="center"/>
    </xf>
    <xf borderId="1" fillId="5" fontId="16" numFmtId="3" xfId="0" applyAlignment="1" applyBorder="1" applyFont="1" applyNumberFormat="1">
      <alignment horizontal="center" vertical="center"/>
    </xf>
    <xf borderId="1" fillId="4" fontId="16" numFmtId="3" xfId="0" applyAlignment="1" applyBorder="1" applyFont="1" applyNumberFormat="1">
      <alignment horizontal="center" vertical="center"/>
    </xf>
    <xf borderId="1" fillId="5" fontId="21" numFmtId="0" xfId="0" applyAlignment="1" applyBorder="1" applyFont="1">
      <alignment horizontal="center" vertical="center"/>
    </xf>
    <xf borderId="1" fillId="2" fontId="5" numFmtId="3" xfId="0" applyAlignment="1" applyBorder="1" applyFont="1" applyNumberFormat="1">
      <alignment vertical="center"/>
    </xf>
    <xf borderId="1" fillId="3" fontId="21" numFmtId="0" xfId="0" applyAlignment="1" applyBorder="1" applyFont="1">
      <alignment horizontal="center"/>
    </xf>
    <xf borderId="1" fillId="4" fontId="37" numFmtId="0" xfId="0" applyBorder="1" applyFont="1"/>
    <xf borderId="1" fillId="4" fontId="21" numFmtId="0" xfId="0" applyAlignment="1" applyBorder="1" applyFont="1">
      <alignment horizontal="center"/>
    </xf>
    <xf borderId="1" fillId="4" fontId="38" numFmtId="0" xfId="0" applyBorder="1" applyFont="1"/>
    <xf borderId="0" fillId="4" fontId="3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Cumulative/Total Revenue and Cumulative/Expense+Tax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REVENUE</c:v>
          </c:tx>
          <c:spPr>
            <a:ln cmpd="sng"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'Break Even and ROI'!$D$10:$D$27</c:f>
            </c:strRef>
          </c:cat>
          <c:val>
            <c:numRef>
              <c:f>'Break Even and ROI'!$E$10:$E$27</c:f>
              <c:numCache/>
            </c:numRef>
          </c:val>
          <c:smooth val="0"/>
        </c:ser>
        <c:ser>
          <c:idx val="1"/>
          <c:order val="1"/>
          <c:tx>
            <c:v>EXPENSE+TAX</c:v>
          </c:tx>
          <c:spPr>
            <a:ln cmpd="sng"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'Break Even and ROI'!$D$10:$D$27</c:f>
            </c:strRef>
          </c:cat>
          <c:val>
            <c:numRef>
              <c:f>'Break Even and ROI'!$G$10:$G$27</c:f>
              <c:numCache/>
            </c:numRef>
          </c:val>
          <c:smooth val="0"/>
        </c:ser>
        <c:axId val="1012714832"/>
        <c:axId val="1057814987"/>
      </c:lineChart>
      <c:catAx>
        <c:axId val="10127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57814987"/>
      </c:catAx>
      <c:valAx>
        <c:axId val="105781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1271483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Return on Investment</a:t>
            </a:r>
          </a:p>
        </c:rich>
      </c:tx>
      <c:overlay val="0"/>
    </c:title>
    <c:plotArea>
      <c:layout/>
      <c:areaChart>
        <c:ser>
          <c:idx val="0"/>
          <c:order val="0"/>
          <c:tx>
            <c:v>ROI(%) P/Y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'Break Even and ROI'!$F$32:$F$36</c:f>
            </c:strRef>
          </c:cat>
          <c:val>
            <c:numRef>
              <c:f>'Break Even and ROI'!$G$32:$G$36</c:f>
              <c:numCache/>
            </c:numRef>
          </c:val>
        </c:ser>
        <c:ser>
          <c:idx val="1"/>
          <c:order val="1"/>
          <c:tx>
            <c:v>30% EQUITY ROI(%) P/Y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'Break Even and ROI'!$F$32:$F$36</c:f>
            </c:strRef>
          </c:cat>
          <c:val>
            <c:numRef>
              <c:f>'Break Even and ROI'!$H$32:$H$36</c:f>
              <c:numCache/>
            </c:numRef>
          </c:val>
        </c:ser>
        <c:axId val="215239392"/>
        <c:axId val="834983582"/>
      </c:areaChart>
      <c:catAx>
        <c:axId val="2152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4983582"/>
      </c:catAx>
      <c:valAx>
        <c:axId val="834983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5239392"/>
      </c:valAx>
    </c:plotArea>
    <c:legend>
      <c:legendPos val="b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1600200</xdr:colOff>
      <xdr:row>15</xdr:row>
      <xdr:rowOff>438150</xdr:rowOff>
    </xdr:from>
    <xdr:ext cx="10896600" cy="6486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42</xdr:row>
      <xdr:rowOff>9525</xdr:rowOff>
    </xdr:from>
    <xdr:ext cx="304800" cy="276225"/>
    <xdr:sp>
      <xdr:nvSpPr>
        <xdr:cNvPr id="3" name="Shape 3"/>
        <xdr:cNvSpPr/>
      </xdr:nvSpPr>
      <xdr:spPr>
        <a:xfrm>
          <a:off x="5198363" y="3646650"/>
          <a:ext cx="295275" cy="266700"/>
        </a:xfrm>
        <a:prstGeom prst="ellipse">
          <a:avLst/>
        </a:prstGeom>
        <a:solidFill>
          <a:srgbClr val="1EAF97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1285875</xdr:colOff>
      <xdr:row>42</xdr:row>
      <xdr:rowOff>38100</xdr:rowOff>
    </xdr:from>
    <xdr:ext cx="952500" cy="209550"/>
    <xdr:sp>
      <xdr:nvSpPr>
        <xdr:cNvPr id="4" name="Shape 4"/>
        <xdr:cNvSpPr txBox="1"/>
      </xdr:nvSpPr>
      <xdr:spPr>
        <a:xfrm>
          <a:off x="4874513" y="3679988"/>
          <a:ext cx="942975" cy="2000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ctr">
            <a:lnSpc>
              <a:spcPct val="111428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Web Series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923925</xdr:colOff>
      <xdr:row>43</xdr:row>
      <xdr:rowOff>47625</xdr:rowOff>
    </xdr:from>
    <xdr:ext cx="304800" cy="276225"/>
    <xdr:sp>
      <xdr:nvSpPr>
        <xdr:cNvPr id="5" name="Shape 5"/>
        <xdr:cNvSpPr/>
      </xdr:nvSpPr>
      <xdr:spPr>
        <a:xfrm>
          <a:off x="5198363" y="3646650"/>
          <a:ext cx="295275" cy="266700"/>
        </a:xfrm>
        <a:prstGeom prst="ellipse">
          <a:avLst/>
        </a:prstGeom>
        <a:solidFill>
          <a:srgbClr val="747474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1323975</xdr:colOff>
      <xdr:row>43</xdr:row>
      <xdr:rowOff>95250</xdr:rowOff>
    </xdr:from>
    <xdr:ext cx="2076450" cy="590550"/>
    <xdr:sp>
      <xdr:nvSpPr>
        <xdr:cNvPr id="6" name="Shape 6"/>
        <xdr:cNvSpPr txBox="1"/>
      </xdr:nvSpPr>
      <xdr:spPr>
        <a:xfrm>
          <a:off x="4312538" y="3489488"/>
          <a:ext cx="2066925" cy="5810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11428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Influencer Commission 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942975</xdr:colOff>
      <xdr:row>44</xdr:row>
      <xdr:rowOff>76200</xdr:rowOff>
    </xdr:from>
    <xdr:ext cx="304800" cy="276225"/>
    <xdr:sp>
      <xdr:nvSpPr>
        <xdr:cNvPr id="7" name="Shape 7"/>
        <xdr:cNvSpPr/>
      </xdr:nvSpPr>
      <xdr:spPr>
        <a:xfrm>
          <a:off x="5198363" y="3646650"/>
          <a:ext cx="295275" cy="266700"/>
        </a:xfrm>
        <a:prstGeom prst="ellipse">
          <a:avLst/>
        </a:prstGeom>
        <a:solidFill>
          <a:srgbClr val="36464E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1114425</xdr:colOff>
      <xdr:row>44</xdr:row>
      <xdr:rowOff>114300</xdr:rowOff>
    </xdr:from>
    <xdr:ext cx="1390650" cy="209550"/>
    <xdr:sp>
      <xdr:nvSpPr>
        <xdr:cNvPr id="8" name="Shape 8"/>
        <xdr:cNvSpPr txBox="1"/>
      </xdr:nvSpPr>
      <xdr:spPr>
        <a:xfrm>
          <a:off x="4655438" y="3679988"/>
          <a:ext cx="1381125" cy="2000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ctr">
            <a:lnSpc>
              <a:spcPct val="111428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Ticket Sales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523875</xdr:colOff>
      <xdr:row>41</xdr:row>
      <xdr:rowOff>276225</xdr:rowOff>
    </xdr:from>
    <xdr:ext cx="3038475" cy="21812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1828800</xdr:colOff>
      <xdr:row>29</xdr:row>
      <xdr:rowOff>19050</xdr:rowOff>
    </xdr:from>
    <xdr:ext cx="6991350" cy="4667250"/>
    <xdr:graphicFrame>
      <xdr:nvGraphicFramePr>
        <xdr:cNvPr id="2783649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2114550</xdr:colOff>
      <xdr:row>39</xdr:row>
      <xdr:rowOff>228600</xdr:rowOff>
    </xdr:from>
    <xdr:ext cx="6486525" cy="4076700"/>
    <xdr:graphicFrame>
      <xdr:nvGraphicFramePr>
        <xdr:cNvPr id="18797118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0</xdr:rowOff>
    </xdr:from>
    <xdr:ext cx="6572250" cy="3457575"/>
    <xdr:grpSp>
      <xdr:nvGrpSpPr>
        <xdr:cNvPr id="2" name="Shape 2"/>
        <xdr:cNvGrpSpPr/>
      </xdr:nvGrpSpPr>
      <xdr:grpSpPr>
        <a:xfrm>
          <a:off x="2059875" y="2051213"/>
          <a:ext cx="6572250" cy="3457575"/>
          <a:chOff x="2059875" y="2051213"/>
          <a:chExt cx="6572250" cy="3457575"/>
        </a:xfrm>
      </xdr:grpSpPr>
      <xdr:grpSp>
        <xdr:nvGrpSpPr>
          <xdr:cNvPr id="9" name="Shape 9"/>
          <xdr:cNvGrpSpPr/>
        </xdr:nvGrpSpPr>
        <xdr:grpSpPr>
          <a:xfrm>
            <a:off x="2059875" y="2051213"/>
            <a:ext cx="6572250" cy="3457575"/>
            <a:chOff x="2059875" y="2051213"/>
            <a:chExt cx="6572250" cy="3457575"/>
          </a:xfrm>
        </xdr:grpSpPr>
        <xdr:sp>
          <xdr:nvSpPr>
            <xdr:cNvPr id="10" name="Shape 10"/>
            <xdr:cNvSpPr/>
          </xdr:nvSpPr>
          <xdr:spPr>
            <a:xfrm>
              <a:off x="2059875" y="2051213"/>
              <a:ext cx="6572250" cy="3457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" name="Shape 11"/>
            <xdr:cNvGrpSpPr/>
          </xdr:nvGrpSpPr>
          <xdr:grpSpPr>
            <a:xfrm>
              <a:off x="2059875" y="2051213"/>
              <a:ext cx="6572250" cy="3457575"/>
              <a:chOff x="160353" y="-406803"/>
              <a:chExt cx="4867901" cy="1953137"/>
            </a:xfrm>
          </xdr:grpSpPr>
          <xdr:sp>
            <xdr:nvSpPr>
              <xdr:cNvPr id="12" name="Shape 12"/>
              <xdr:cNvSpPr/>
            </xdr:nvSpPr>
            <xdr:spPr>
              <a:xfrm>
                <a:off x="160353" y="-406803"/>
                <a:ext cx="4867900" cy="1953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13" name="Shape 13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160353" y="-406803"/>
                <a:ext cx="1185250" cy="975246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4" name="Shape 14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716296" y="96975"/>
                <a:ext cx="629311" cy="532591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15" name="Shape 15"/>
              <xdr:cNvSpPr txBox="1"/>
            </xdr:nvSpPr>
            <xdr:spPr>
              <a:xfrm>
                <a:off x="1693634" y="47913"/>
                <a:ext cx="1823209" cy="52022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l">
                  <a:lnSpc>
                    <a:spcPct val="153593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188A77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188A77"/>
                    </a:solidFill>
                    <a:latin typeface="Arial"/>
                    <a:ea typeface="Arial"/>
                    <a:cs typeface="Arial"/>
                    <a:sym typeface="Arial"/>
                  </a:rPr>
                  <a:t>1.75M</a:t>
                </a:r>
                <a:endParaRPr sz="1100">
                  <a:solidFill>
                    <a:srgbClr val="188A77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16" name="Shape 16"/>
              <xdr:cNvSpPr txBox="1"/>
            </xdr:nvSpPr>
            <xdr:spPr>
              <a:xfrm>
                <a:off x="1497413" y="332214"/>
                <a:ext cx="3530841" cy="12141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l">
                  <a:lnSpc>
                    <a:spcPct val="136875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364751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364751"/>
                    </a:solidFill>
                    <a:latin typeface="Arial"/>
                    <a:ea typeface="Arial"/>
                    <a:cs typeface="Arial"/>
                    <a:sym typeface="Arial"/>
                  </a:rPr>
                  <a:t>Your Investment </a:t>
                </a:r>
                <a:endParaRPr sz="1100"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17" name="Shape 17"/>
              <xdr:cNvSpPr txBox="1"/>
            </xdr:nvSpPr>
            <xdr:spPr>
              <a:xfrm>
                <a:off x="1203185" y="3593"/>
                <a:ext cx="619125" cy="8413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ctr">
                  <a:lnSpc>
                    <a:spcPct val="182031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188A77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188A77"/>
                    </a:solidFill>
                    <a:latin typeface="Arial"/>
                    <a:ea typeface="Arial"/>
                    <a:cs typeface="Arial"/>
                    <a:sym typeface="Arial"/>
                  </a:rPr>
                  <a:t> £</a:t>
                </a:r>
                <a:endParaRPr sz="1100">
                  <a:solidFill>
                    <a:srgbClr val="188A77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19050</xdr:colOff>
      <xdr:row>43</xdr:row>
      <xdr:rowOff>495300</xdr:rowOff>
    </xdr:from>
    <xdr:ext cx="3600450" cy="1371600"/>
    <xdr:grpSp>
      <xdr:nvGrpSpPr>
        <xdr:cNvPr id="2" name="Shape 2"/>
        <xdr:cNvGrpSpPr/>
      </xdr:nvGrpSpPr>
      <xdr:grpSpPr>
        <a:xfrm>
          <a:off x="3545775" y="3094200"/>
          <a:ext cx="3600450" cy="1371600"/>
          <a:chOff x="3545775" y="3094200"/>
          <a:chExt cx="3600450" cy="1371600"/>
        </a:xfrm>
      </xdr:grpSpPr>
      <xdr:grpSp>
        <xdr:nvGrpSpPr>
          <xdr:cNvPr id="18" name="Shape 18"/>
          <xdr:cNvGrpSpPr/>
        </xdr:nvGrpSpPr>
        <xdr:grpSpPr>
          <a:xfrm>
            <a:off x="3545775" y="3094200"/>
            <a:ext cx="3600450" cy="1371600"/>
            <a:chOff x="3545775" y="3094200"/>
            <a:chExt cx="3600450" cy="1371600"/>
          </a:xfrm>
        </xdr:grpSpPr>
        <xdr:sp>
          <xdr:nvSpPr>
            <xdr:cNvPr id="10" name="Shape 10"/>
            <xdr:cNvSpPr/>
          </xdr:nvSpPr>
          <xdr:spPr>
            <a:xfrm>
              <a:off x="3545775" y="3094200"/>
              <a:ext cx="3600450" cy="1371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" name="Shape 19"/>
            <xdr:cNvGrpSpPr/>
          </xdr:nvGrpSpPr>
          <xdr:grpSpPr>
            <a:xfrm>
              <a:off x="3545775" y="3094200"/>
              <a:ext cx="3600450" cy="1371600"/>
              <a:chOff x="-444126" y="0"/>
              <a:chExt cx="3658325" cy="1339222"/>
            </a:xfrm>
          </xdr:grpSpPr>
          <xdr:sp>
            <xdr:nvSpPr>
              <xdr:cNvPr id="20" name="Shape 20"/>
              <xdr:cNvSpPr/>
            </xdr:nvSpPr>
            <xdr:spPr>
              <a:xfrm>
                <a:off x="-444126" y="0"/>
                <a:ext cx="3658325" cy="1339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21" name="Shape 21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-444126" y="0"/>
                <a:ext cx="1333845" cy="133922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2" name="Shape 22"/>
              <xdr:cNvPicPr preferRelativeResize="0"/>
            </xdr:nvPicPr>
            <xdr:blipFill rotWithShape="1">
              <a:blip r:embed="rId6">
                <a:alphaModFix/>
              </a:blip>
              <a:srcRect b="0" l="0" r="0" t="0"/>
              <a:stretch/>
            </xdr:blipFill>
            <xdr:spPr>
              <a:xfrm>
                <a:off x="-378211" y="476413"/>
                <a:ext cx="541085" cy="54962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23" name="Shape 23"/>
              <xdr:cNvSpPr txBox="1"/>
            </xdr:nvSpPr>
            <xdr:spPr>
              <a:xfrm>
                <a:off x="1055429" y="97589"/>
                <a:ext cx="1293495" cy="58150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ctr">
                  <a:lnSpc>
                    <a:spcPct val="153593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188A77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188A77"/>
                    </a:solidFill>
                    <a:latin typeface="Arial"/>
                    <a:ea typeface="Arial"/>
                    <a:cs typeface="Arial"/>
                    <a:sym typeface="Arial"/>
                  </a:rPr>
                  <a:t>30%</a:t>
                </a:r>
                <a:endParaRPr sz="1100">
                  <a:solidFill>
                    <a:srgbClr val="188A77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24" name="Shape 24"/>
              <xdr:cNvSpPr txBox="1"/>
            </xdr:nvSpPr>
            <xdr:spPr>
              <a:xfrm>
                <a:off x="1323169" y="623960"/>
                <a:ext cx="1891030" cy="6578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l">
                  <a:lnSpc>
                    <a:spcPct val="136875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364751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364751"/>
                    </a:solidFill>
                    <a:latin typeface="Arial"/>
                    <a:ea typeface="Arial"/>
                    <a:cs typeface="Arial"/>
                    <a:sym typeface="Arial"/>
                  </a:rPr>
                  <a:t>Equity</a:t>
                </a:r>
                <a:endParaRPr sz="1100"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1390650</xdr:colOff>
      <xdr:row>39</xdr:row>
      <xdr:rowOff>304800</xdr:rowOff>
    </xdr:from>
    <xdr:ext cx="5305425" cy="2019300"/>
    <xdr:grpSp>
      <xdr:nvGrpSpPr>
        <xdr:cNvPr id="2" name="Shape 2"/>
        <xdr:cNvGrpSpPr/>
      </xdr:nvGrpSpPr>
      <xdr:grpSpPr>
        <a:xfrm>
          <a:off x="2693288" y="2770350"/>
          <a:ext cx="5305425" cy="2019300"/>
          <a:chOff x="2693288" y="2770350"/>
          <a:chExt cx="5305425" cy="2019300"/>
        </a:xfrm>
      </xdr:grpSpPr>
      <xdr:grpSp>
        <xdr:nvGrpSpPr>
          <xdr:cNvPr id="25" name="Shape 25"/>
          <xdr:cNvGrpSpPr/>
        </xdr:nvGrpSpPr>
        <xdr:grpSpPr>
          <a:xfrm>
            <a:off x="2693288" y="2770350"/>
            <a:ext cx="5305425" cy="2019300"/>
            <a:chOff x="2693288" y="2770350"/>
            <a:chExt cx="5305425" cy="2019300"/>
          </a:xfrm>
        </xdr:grpSpPr>
        <xdr:sp>
          <xdr:nvSpPr>
            <xdr:cNvPr id="10" name="Shape 10"/>
            <xdr:cNvSpPr/>
          </xdr:nvSpPr>
          <xdr:spPr>
            <a:xfrm>
              <a:off x="2693288" y="2770350"/>
              <a:ext cx="5305425" cy="201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" name="Shape 26"/>
            <xdr:cNvGrpSpPr/>
          </xdr:nvGrpSpPr>
          <xdr:grpSpPr>
            <a:xfrm>
              <a:off x="2693288" y="2770350"/>
              <a:ext cx="5305425" cy="2019300"/>
              <a:chOff x="1285140" y="3593"/>
              <a:chExt cx="3245919" cy="1711824"/>
            </a:xfrm>
          </xdr:grpSpPr>
          <xdr:sp>
            <xdr:nvSpPr>
              <xdr:cNvPr id="27" name="Shape 27"/>
              <xdr:cNvSpPr/>
            </xdr:nvSpPr>
            <xdr:spPr>
              <a:xfrm>
                <a:off x="1285140" y="3593"/>
                <a:ext cx="3245900" cy="1711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8" name="Shape 28"/>
              <xdr:cNvSpPr txBox="1"/>
            </xdr:nvSpPr>
            <xdr:spPr>
              <a:xfrm>
                <a:off x="1730144" y="80235"/>
                <a:ext cx="1076787" cy="72580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l">
                  <a:lnSpc>
                    <a:spcPct val="153593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188A77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188A77"/>
                    </a:solidFill>
                    <a:latin typeface="Arial"/>
                    <a:ea typeface="Arial"/>
                    <a:cs typeface="Arial"/>
                    <a:sym typeface="Arial"/>
                  </a:rPr>
                  <a:t>3.5M</a:t>
                </a:r>
                <a:endParaRPr sz="1100">
                  <a:solidFill>
                    <a:srgbClr val="188A77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29" name="Shape 29"/>
              <xdr:cNvSpPr txBox="1"/>
            </xdr:nvSpPr>
            <xdr:spPr>
              <a:xfrm>
                <a:off x="1568784" y="501297"/>
                <a:ext cx="2962275" cy="12141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l">
                  <a:lnSpc>
                    <a:spcPct val="136875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364751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364751"/>
                    </a:solidFill>
                    <a:latin typeface="Arial"/>
                    <a:ea typeface="Arial"/>
                    <a:cs typeface="Arial"/>
                    <a:sym typeface="Arial"/>
                  </a:rPr>
                  <a:t>Total Investment</a:t>
                </a:r>
                <a:endParaRPr sz="1100"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30" name="Shape 30"/>
              <xdr:cNvSpPr txBox="1"/>
            </xdr:nvSpPr>
            <xdr:spPr>
              <a:xfrm>
                <a:off x="1285140" y="3593"/>
                <a:ext cx="619125" cy="8413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0" lIns="0" spcFirstLastPara="1" rIns="0" wrap="square" tIns="0">
                <a:noAutofit/>
              </a:bodyPr>
              <a:lstStyle/>
              <a:p>
                <a:pPr indent="0" lvl="0" marL="0" marR="0" rtl="0" algn="ctr">
                  <a:lnSpc>
                    <a:spcPct val="182031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188A77"/>
                  </a:buClr>
                  <a:buSzPts val="3200"/>
                  <a:buFont typeface="Arial"/>
                  <a:buNone/>
                </a:pPr>
                <a:r>
                  <a:rPr lang="en-US" sz="3200">
                    <a:solidFill>
                      <a:srgbClr val="188A77"/>
                    </a:solidFill>
                    <a:latin typeface="Arial"/>
                    <a:ea typeface="Arial"/>
                    <a:cs typeface="Arial"/>
                    <a:sym typeface="Arial"/>
                  </a:rPr>
                  <a:t> £</a:t>
                </a:r>
                <a:endParaRPr sz="1100">
                  <a:solidFill>
                    <a:srgbClr val="188A77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1733550</xdr:colOff>
      <xdr:row>33</xdr:row>
      <xdr:rowOff>47625</xdr:rowOff>
    </xdr:from>
    <xdr:ext cx="1162050" cy="352425"/>
    <xdr:sp>
      <xdr:nvSpPr>
        <xdr:cNvPr id="31" name="Shape 31"/>
        <xdr:cNvSpPr/>
      </xdr:nvSpPr>
      <xdr:spPr>
        <a:xfrm>
          <a:off x="4769738" y="3608550"/>
          <a:ext cx="1152525" cy="342900"/>
        </a:xfrm>
        <a:custGeom>
          <a:rect b="b" l="l" r="r" t="t"/>
          <a:pathLst>
            <a:path extrusionOk="0" h="360680" w="1136276">
              <a:moveTo>
                <a:pt x="1136276" y="180340"/>
              </a:moveTo>
              <a:cubicBezTo>
                <a:pt x="1136276" y="81280"/>
                <a:pt x="1056266" y="0"/>
                <a:pt x="955936" y="0"/>
              </a:cubicBezTo>
              <a:lnTo>
                <a:pt x="172720" y="0"/>
              </a:lnTo>
              <a:lnTo>
                <a:pt x="172720" y="1270"/>
              </a:lnTo>
              <a:cubicBezTo>
                <a:pt x="76200" y="5080"/>
                <a:pt x="0" y="83820"/>
                <a:pt x="0" y="180340"/>
              </a:cubicBezTo>
              <a:cubicBezTo>
                <a:pt x="0" y="276860"/>
                <a:pt x="77470" y="355600"/>
                <a:pt x="172720" y="359410"/>
              </a:cubicBezTo>
              <a:lnTo>
                <a:pt x="172720" y="360680"/>
              </a:lnTo>
              <a:lnTo>
                <a:pt x="955935" y="360680"/>
              </a:lnTo>
              <a:cubicBezTo>
                <a:pt x="1054995" y="360680"/>
                <a:pt x="1136275" y="279400"/>
                <a:pt x="1136275" y="180340"/>
              </a:cubicBezTo>
              <a:close/>
            </a:path>
          </a:pathLst>
        </a:custGeom>
        <a:solidFill>
          <a:srgbClr val="263238">
            <a:alpha val="70588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2057400</xdr:colOff>
      <xdr:row>33</xdr:row>
      <xdr:rowOff>104775</xdr:rowOff>
    </xdr:from>
    <xdr:ext cx="781050" cy="228600"/>
    <xdr:sp>
      <xdr:nvSpPr>
        <xdr:cNvPr id="32" name="Shape 32"/>
        <xdr:cNvSpPr txBox="1"/>
      </xdr:nvSpPr>
      <xdr:spPr>
        <a:xfrm>
          <a:off x="4960238" y="3670463"/>
          <a:ext cx="771525" cy="2190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700"/>
            <a:buFont typeface="Arial"/>
            <a:buNone/>
          </a:pPr>
          <a:r>
            <a:rPr lang="en-US" sz="700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Break-Even is at 10th Quarter</a:t>
          </a:r>
          <a:endParaRPr sz="1400"/>
        </a:p>
      </xdr:txBody>
    </xdr:sp>
    <xdr:clientData fLocksWithSheet="0"/>
  </xdr:oneCellAnchor>
  <xdr:oneCellAnchor>
    <xdr:from>
      <xdr:col>1</xdr:col>
      <xdr:colOff>1838325</xdr:colOff>
      <xdr:row>33</xdr:row>
      <xdr:rowOff>95250</xdr:rowOff>
    </xdr:from>
    <xdr:ext cx="247650" cy="2571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oxtoboxfilms.com/" TargetMode="External"/><Relationship Id="rId22" Type="http://schemas.openxmlformats.org/officeDocument/2006/relationships/hyperlink" Target="https://massaroconsulting.com/2017/10/cost-of-quality/" TargetMode="External"/><Relationship Id="rId21" Type="http://schemas.openxmlformats.org/officeDocument/2006/relationships/hyperlink" Target="http://www.facilityservicespartners.com/facility-costs/" TargetMode="External"/><Relationship Id="rId24" Type="http://schemas.openxmlformats.org/officeDocument/2006/relationships/hyperlink" Target="https://moneywise.com/a/how-much-do-reality-tv-stars-make" TargetMode="External"/><Relationship Id="rId23" Type="http://schemas.openxmlformats.org/officeDocument/2006/relationships/hyperlink" Target="http://www.housingenergyadvisor.com/blog/installing-gas-in-your-home/" TargetMode="External"/><Relationship Id="rId1" Type="http://schemas.openxmlformats.org/officeDocument/2006/relationships/hyperlink" Target="https://www.realla.co.uk/details/20375135" TargetMode="External"/><Relationship Id="rId2" Type="http://schemas.openxmlformats.org/officeDocument/2006/relationships/hyperlink" Target="https://www.realla.co.uk/details/17934148" TargetMode="External"/><Relationship Id="rId3" Type="http://schemas.openxmlformats.org/officeDocument/2006/relationships/hyperlink" Target="https://www.thedrum.com/news/2019/04/08/why-brands-are-turning-amazon-prime-video-distribute-their-own-content" TargetMode="External"/><Relationship Id="rId4" Type="http://schemas.openxmlformats.org/officeDocument/2006/relationships/hyperlink" Target="https://brandequity.economictimes.indiatimes.com/news/business-of-brands/amazon-prime-video-partners-with-magicbricks/76370861" TargetMode="External"/><Relationship Id="rId9" Type="http://schemas.openxmlformats.org/officeDocument/2006/relationships/hyperlink" Target="https://www.renderforest.com/blog/how-much-do-youtubers-make" TargetMode="External"/><Relationship Id="rId26" Type="http://schemas.openxmlformats.org/officeDocument/2006/relationships/hyperlink" Target="https://blog.bookingagentinfo.com/celebrity-appearance-and-fees/" TargetMode="External"/><Relationship Id="rId25" Type="http://schemas.openxmlformats.org/officeDocument/2006/relationships/hyperlink" Target="https://www.expatica.com/uk/working/employment-law/minimum-wage-uk-982318/" TargetMode="External"/><Relationship Id="rId28" Type="http://schemas.openxmlformats.org/officeDocument/2006/relationships/hyperlink" Target="https://www.bbc.com/news/business-21238363" TargetMode="External"/><Relationship Id="rId27" Type="http://schemas.openxmlformats.org/officeDocument/2006/relationships/hyperlink" Target="https://www.statista.com/statistics/515740/average-hotel-room-rate-in-uk-cities/" TargetMode="External"/><Relationship Id="rId5" Type="http://schemas.openxmlformats.org/officeDocument/2006/relationships/hyperlink" Target="https://www.statista.com/statistics/486523/most-watched-itv-programs-in-the-uk/" TargetMode="External"/><Relationship Id="rId6" Type="http://schemas.openxmlformats.org/officeDocument/2006/relationships/hyperlink" Target="https://momofilmfest.com/amazon-cuts-prime-video-direct-rates-for-indie-filmmakers-again/" TargetMode="External"/><Relationship Id="rId29" Type="http://schemas.openxmlformats.org/officeDocument/2006/relationships/drawing" Target="../drawings/drawing7.xml"/><Relationship Id="rId7" Type="http://schemas.openxmlformats.org/officeDocument/2006/relationships/hyperlink" Target="https://f1destinations.com/tickets-british-f1-grand-prix/" TargetMode="External"/><Relationship Id="rId8" Type="http://schemas.openxmlformats.org/officeDocument/2006/relationships/hyperlink" Target="https://www.silverstone.co.uk/events/2021-british-grand-prix-motogp/" TargetMode="External"/><Relationship Id="rId11" Type="http://schemas.openxmlformats.org/officeDocument/2006/relationships/hyperlink" Target="https://www.contentfac.com/how-much-does-social-media-marketing-cost/" TargetMode="External"/><Relationship Id="rId10" Type="http://schemas.openxmlformats.org/officeDocument/2006/relationships/hyperlink" Target="https://smallbusiness.chron.com/list-typical-marketing-expenses-23242.html" TargetMode="External"/><Relationship Id="rId13" Type="http://schemas.openxmlformats.org/officeDocument/2006/relationships/hyperlink" Target="https://www.eventmanagerblog.com/event-pricing-strategy" TargetMode="External"/><Relationship Id="rId12" Type="http://schemas.openxmlformats.org/officeDocument/2006/relationships/hyperlink" Target="https://drive.google.com/file/d/1vhEGc4Mur3HDyW1Z72Y5as-qpotMIgm4/view?usp=sharing" TargetMode="External"/><Relationship Id="rId15" Type="http://schemas.openxmlformats.org/officeDocument/2006/relationships/hyperlink" Target="https://mosimtec.com/types-of-logistic-costs/" TargetMode="External"/><Relationship Id="rId14" Type="http://schemas.openxmlformats.org/officeDocument/2006/relationships/hyperlink" Target="https://www.toasttv.co.uk/tv-advertising-costs/" TargetMode="External"/><Relationship Id="rId17" Type="http://schemas.openxmlformats.org/officeDocument/2006/relationships/hyperlink" Target="https://www.great.gov.uk/international/content/about-uk/why-choose-uk/tax-incentives/" TargetMode="External"/><Relationship Id="rId16" Type="http://schemas.openxmlformats.org/officeDocument/2006/relationships/hyperlink" Target="https://www.globalsignin.com/blog-events/elements-of-event-logistics/" TargetMode="External"/><Relationship Id="rId19" Type="http://schemas.openxmlformats.org/officeDocument/2006/relationships/hyperlink" Target="https://www.theengineer.co.uk/engineer-salary-uk-2018/" TargetMode="External"/><Relationship Id="rId18" Type="http://schemas.openxmlformats.org/officeDocument/2006/relationships/hyperlink" Target="https://www.mbacrystalball.com/business-schools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4.5"/>
    <col customWidth="1" min="2" max="2" width="39.38"/>
    <col customWidth="1" min="3" max="8" width="24.5"/>
    <col customWidth="1" min="9" max="9" width="38.75"/>
    <col customWidth="1" min="10" max="25" width="24.5"/>
  </cols>
  <sheetData>
    <row r="1" ht="45.75" customHeight="1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9.75" customHeight="1">
      <c r="A2" s="1"/>
      <c r="B2" s="6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9.75" customHeight="1">
      <c r="A3" s="1"/>
      <c r="B3" s="6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9.75" customHeight="1">
      <c r="A4" s="1"/>
      <c r="B4" s="6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9.75" customHeight="1">
      <c r="A5" s="4"/>
      <c r="B5" s="7"/>
      <c r="C5" s="7"/>
      <c r="D5" s="4"/>
      <c r="E5" s="8"/>
      <c r="F5" s="8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9.75" customHeight="1">
      <c r="A6" s="4"/>
      <c r="B6" s="9" t="s">
        <v>1</v>
      </c>
      <c r="C6" s="4"/>
      <c r="D6" s="4"/>
      <c r="E6" s="10" t="s">
        <v>2</v>
      </c>
      <c r="F6" s="4"/>
      <c r="G6" s="4"/>
      <c r="H6" s="4"/>
      <c r="I6" s="10" t="s">
        <v>3</v>
      </c>
      <c r="J6" s="4"/>
      <c r="K6" s="4"/>
      <c r="L6" s="10" t="s">
        <v>4</v>
      </c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9.75" customHeight="1">
      <c r="A7" s="4"/>
      <c r="B7" s="11" t="s">
        <v>5</v>
      </c>
      <c r="C7" s="12" t="s">
        <v>6</v>
      </c>
      <c r="D7" s="13"/>
      <c r="E7" s="11" t="s">
        <v>7</v>
      </c>
      <c r="F7" s="12"/>
      <c r="G7" s="12" t="s">
        <v>8</v>
      </c>
      <c r="H7" s="5"/>
      <c r="I7" s="11" t="s">
        <v>9</v>
      </c>
      <c r="J7" s="12" t="s">
        <v>10</v>
      </c>
      <c r="K7" s="4"/>
      <c r="L7" s="14" t="s">
        <v>11</v>
      </c>
      <c r="M7" s="15" t="s">
        <v>6</v>
      </c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9.75" customHeight="1">
      <c r="A8" s="4"/>
      <c r="B8" s="16" t="s">
        <v>12</v>
      </c>
      <c r="C8" s="17">
        <f>35*1383</f>
        <v>48405</v>
      </c>
      <c r="D8" s="18" t="s">
        <v>13</v>
      </c>
      <c r="E8" s="16" t="s">
        <v>14</v>
      </c>
      <c r="F8" s="17"/>
      <c r="G8" s="17">
        <f>1.76*22587</f>
        <v>39753.12</v>
      </c>
      <c r="H8" s="19"/>
      <c r="I8" s="11" t="s">
        <v>15</v>
      </c>
      <c r="J8" s="17">
        <f>100000*4</f>
        <v>400000</v>
      </c>
      <c r="K8" s="4"/>
      <c r="L8" s="20" t="s">
        <v>16</v>
      </c>
      <c r="M8" s="21">
        <f>900*10</f>
        <v>9000</v>
      </c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9.75" customHeight="1">
      <c r="A9" s="4"/>
      <c r="B9" s="16" t="s">
        <v>17</v>
      </c>
      <c r="C9" s="17">
        <f>1.63*1383*12</f>
        <v>27051.48</v>
      </c>
      <c r="D9" s="18" t="s">
        <v>13</v>
      </c>
      <c r="E9" s="16" t="s">
        <v>18</v>
      </c>
      <c r="F9" s="17"/>
      <c r="G9" s="17">
        <f>10000</f>
        <v>10000</v>
      </c>
      <c r="H9" s="22"/>
      <c r="I9" s="11" t="s">
        <v>19</v>
      </c>
      <c r="J9" s="17">
        <f>50000*8</f>
        <v>400000</v>
      </c>
      <c r="K9" s="4"/>
      <c r="L9" s="20" t="s">
        <v>20</v>
      </c>
      <c r="M9" s="21">
        <f>900*15</f>
        <v>13500</v>
      </c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9.75" customHeight="1">
      <c r="A10" s="4"/>
      <c r="B10" s="23" t="s">
        <v>21</v>
      </c>
      <c r="C10" s="17">
        <f>12*2*8000</f>
        <v>192000</v>
      </c>
      <c r="D10" s="18" t="s">
        <v>13</v>
      </c>
      <c r="E10" s="16" t="s">
        <v>22</v>
      </c>
      <c r="F10" s="17"/>
      <c r="G10" s="17">
        <f>40*15*8*26*12/4</f>
        <v>374400</v>
      </c>
      <c r="H10" s="19"/>
      <c r="I10" s="11" t="s">
        <v>23</v>
      </c>
      <c r="J10" s="24">
        <f>SUM(J8:J9)</f>
        <v>800000</v>
      </c>
      <c r="K10" s="4"/>
      <c r="L10" s="20" t="s">
        <v>24</v>
      </c>
      <c r="M10" s="21">
        <f>500*5</f>
        <v>2500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9.75" customHeight="1">
      <c r="A11" s="4"/>
      <c r="B11" s="16" t="s">
        <v>25</v>
      </c>
      <c r="C11" s="17">
        <f>6000*12*5</f>
        <v>360000</v>
      </c>
      <c r="D11" s="18" t="s">
        <v>13</v>
      </c>
      <c r="E11" s="16" t="s">
        <v>17</v>
      </c>
      <c r="F11" s="17"/>
      <c r="G11" s="17">
        <f>1.63*22587</f>
        <v>36816.81</v>
      </c>
      <c r="H11" s="25"/>
      <c r="I11" s="11" t="s">
        <v>26</v>
      </c>
      <c r="J11" s="24">
        <f>J10/4</f>
        <v>200000</v>
      </c>
      <c r="K11" s="4"/>
      <c r="L11" s="26" t="s">
        <v>27</v>
      </c>
      <c r="M11" s="27">
        <f>SUM(M8:M10)</f>
        <v>25000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9.75" customHeight="1">
      <c r="A12" s="4"/>
      <c r="B12" s="16" t="s">
        <v>28</v>
      </c>
      <c r="C12" s="17">
        <f>12*10*5000</f>
        <v>600000</v>
      </c>
      <c r="D12" s="18" t="s">
        <v>13</v>
      </c>
      <c r="E12" s="16" t="s">
        <v>29</v>
      </c>
      <c r="F12" s="17"/>
      <c r="G12" s="17">
        <f>1000*20</f>
        <v>20000</v>
      </c>
      <c r="H12" s="5"/>
      <c r="I12" s="4"/>
      <c r="J12" s="4"/>
      <c r="K12" s="28"/>
      <c r="L12" s="5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9.75" customHeight="1">
      <c r="A13" s="4"/>
      <c r="B13" s="29" t="s">
        <v>30</v>
      </c>
      <c r="C13" s="24">
        <f>SUM(C8:C12)</f>
        <v>1227456.48</v>
      </c>
      <c r="D13" s="18" t="s">
        <v>13</v>
      </c>
      <c r="E13" s="16" t="s">
        <v>31</v>
      </c>
      <c r="F13" s="17"/>
      <c r="G13" s="17">
        <f>5000</f>
        <v>5000</v>
      </c>
      <c r="H13" s="5"/>
      <c r="I13" s="4"/>
      <c r="J13" s="4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9.75" customHeight="1">
      <c r="A14" s="4"/>
      <c r="B14" s="29" t="s">
        <v>32</v>
      </c>
      <c r="C14" s="24">
        <f>C13/4</f>
        <v>306864.12</v>
      </c>
      <c r="D14" s="13"/>
      <c r="E14" s="29" t="s">
        <v>23</v>
      </c>
      <c r="F14" s="24"/>
      <c r="G14" s="24">
        <f>SUM(G8:G13)</f>
        <v>485969.93</v>
      </c>
      <c r="H14" s="25"/>
      <c r="I14" s="10" t="s">
        <v>33</v>
      </c>
      <c r="J14" s="4"/>
      <c r="K14" s="4"/>
      <c r="L14" s="5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9.75" customHeight="1">
      <c r="A15" s="4"/>
      <c r="B15" s="4"/>
      <c r="C15" s="4"/>
      <c r="D15" s="4"/>
      <c r="E15" s="29" t="s">
        <v>32</v>
      </c>
      <c r="F15" s="24"/>
      <c r="G15" s="24">
        <f>G14/4</f>
        <v>121492.4825</v>
      </c>
      <c r="H15" s="25"/>
      <c r="I15" s="11" t="s">
        <v>34</v>
      </c>
      <c r="J15" s="12" t="s">
        <v>6</v>
      </c>
      <c r="K15" s="4"/>
      <c r="L15" s="5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9.75" customHeight="1">
      <c r="A16" s="4"/>
      <c r="B16" s="4"/>
      <c r="C16" s="4"/>
      <c r="D16" s="4"/>
      <c r="E16" s="30" t="s">
        <v>35</v>
      </c>
      <c r="F16" s="25"/>
      <c r="G16" s="25"/>
      <c r="H16" s="25"/>
      <c r="I16" s="16" t="s">
        <v>36</v>
      </c>
      <c r="J16" s="24">
        <f t="shared" ref="J16:J18" si="1">100000</f>
        <v>100000</v>
      </c>
      <c r="K16" s="4"/>
      <c r="L16" s="5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9.75" customHeight="1">
      <c r="A17" s="4"/>
      <c r="B17" s="10" t="s">
        <v>37</v>
      </c>
      <c r="C17" s="4"/>
      <c r="D17" s="25"/>
      <c r="E17" s="10" t="s">
        <v>38</v>
      </c>
      <c r="F17" s="4"/>
      <c r="G17" s="4"/>
      <c r="H17" s="25"/>
      <c r="I17" s="16" t="s">
        <v>39</v>
      </c>
      <c r="J17" s="24">
        <f t="shared" si="1"/>
        <v>100000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9.75" customHeight="1">
      <c r="A18" s="4"/>
      <c r="B18" s="11" t="s">
        <v>40</v>
      </c>
      <c r="C18" s="12" t="s">
        <v>6</v>
      </c>
      <c r="D18" s="5"/>
      <c r="E18" s="11" t="s">
        <v>41</v>
      </c>
      <c r="F18" s="24">
        <v>380000.0</v>
      </c>
      <c r="G18" s="31"/>
      <c r="H18" s="4"/>
      <c r="I18" s="16" t="s">
        <v>42</v>
      </c>
      <c r="J18" s="24">
        <f t="shared" si="1"/>
        <v>100000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9.75" customHeight="1">
      <c r="A19" s="4"/>
      <c r="B19" s="16" t="s">
        <v>43</v>
      </c>
      <c r="C19" s="17">
        <f>15000*10*2</f>
        <v>300000</v>
      </c>
      <c r="D19" s="5"/>
      <c r="E19" s="4"/>
      <c r="F19" s="4"/>
      <c r="G19" s="4"/>
      <c r="H19" s="4"/>
      <c r="I19" s="16" t="s">
        <v>27</v>
      </c>
      <c r="J19" s="24">
        <f>SUM(J16:J18)</f>
        <v>300000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9.75" customHeight="1">
      <c r="A20" s="4"/>
      <c r="B20" s="16" t="s">
        <v>44</v>
      </c>
      <c r="C20" s="17">
        <f>1.24*20*7*10*10</f>
        <v>17360</v>
      </c>
      <c r="D20" s="25"/>
      <c r="E20" s="10" t="s">
        <v>45</v>
      </c>
      <c r="F20" s="5"/>
      <c r="G20" s="5"/>
      <c r="H20" s="4"/>
      <c r="I20" s="32" t="s">
        <v>26</v>
      </c>
      <c r="J20" s="24">
        <f>J19/4</f>
        <v>75000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9.75" customHeight="1">
      <c r="A21" s="4"/>
      <c r="B21" s="16" t="s">
        <v>46</v>
      </c>
      <c r="C21" s="17">
        <f>90*7*10*25</f>
        <v>157500</v>
      </c>
      <c r="D21" s="5"/>
      <c r="E21" s="11" t="s">
        <v>47</v>
      </c>
      <c r="F21" s="24">
        <f>700000</f>
        <v>700000</v>
      </c>
      <c r="G21" s="4"/>
      <c r="H21" s="4"/>
      <c r="I21" s="5"/>
      <c r="J21" s="5"/>
      <c r="K21" s="5"/>
      <c r="L21" s="5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9.75" customHeight="1">
      <c r="A22" s="4"/>
      <c r="B22" s="16" t="s">
        <v>48</v>
      </c>
      <c r="C22" s="17">
        <f>10000*10</f>
        <v>100000</v>
      </c>
      <c r="D22" s="25"/>
      <c r="E22" s="5"/>
      <c r="F22" s="5"/>
      <c r="G22" s="5"/>
      <c r="H22" s="5"/>
      <c r="I22" s="4"/>
      <c r="J22" s="4"/>
      <c r="K22" s="4"/>
      <c r="L22" s="5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9.75" customHeight="1">
      <c r="A23" s="4"/>
      <c r="B23" s="29" t="s">
        <v>23</v>
      </c>
      <c r="C23" s="24">
        <f>SUM(C19:C22)</f>
        <v>574860</v>
      </c>
      <c r="D23" s="4"/>
      <c r="E23" s="4"/>
      <c r="F23" s="4"/>
      <c r="G23" s="4"/>
      <c r="H23" s="5"/>
      <c r="I23" s="4"/>
      <c r="J23" s="4"/>
      <c r="K23" s="5"/>
      <c r="L23" s="5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9.75" customHeight="1">
      <c r="A24" s="4"/>
      <c r="B24" s="29" t="s">
        <v>32</v>
      </c>
      <c r="C24" s="24">
        <f>C23/4</f>
        <v>143715</v>
      </c>
      <c r="D24" s="4"/>
      <c r="E24" s="10" t="s">
        <v>49</v>
      </c>
      <c r="F24" s="4"/>
      <c r="G24" s="4"/>
      <c r="H24" s="5"/>
      <c r="I24" s="10" t="s">
        <v>50</v>
      </c>
      <c r="J24" s="5"/>
      <c r="K24" s="5"/>
      <c r="L24" s="5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9.75" customHeight="1">
      <c r="A25" s="4"/>
      <c r="B25" s="4"/>
      <c r="C25" s="4"/>
      <c r="D25" s="4"/>
      <c r="E25" s="12" t="s">
        <v>51</v>
      </c>
      <c r="F25" s="12" t="s">
        <v>6</v>
      </c>
      <c r="G25" s="12" t="s">
        <v>52</v>
      </c>
      <c r="H25" s="5"/>
      <c r="I25" s="33" t="s">
        <v>53</v>
      </c>
      <c r="J25" s="34" t="s">
        <v>6</v>
      </c>
      <c r="K25" s="5"/>
      <c r="L25" s="5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9.75" customHeight="1">
      <c r="A26" s="4"/>
      <c r="B26" s="10" t="s">
        <v>54</v>
      </c>
      <c r="C26" s="4"/>
      <c r="D26" s="4"/>
      <c r="E26" s="16" t="s">
        <v>55</v>
      </c>
      <c r="F26" s="17">
        <v>50000.0</v>
      </c>
      <c r="G26" s="35">
        <f>F26/5</f>
        <v>10000</v>
      </c>
      <c r="H26" s="5"/>
      <c r="I26" s="36" t="s">
        <v>56</v>
      </c>
      <c r="J26" s="37">
        <f>3000*10</f>
        <v>30000</v>
      </c>
      <c r="K26" s="4"/>
      <c r="L26" s="5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9.75" customHeight="1">
      <c r="A27" s="4"/>
      <c r="B27" s="11" t="s">
        <v>57</v>
      </c>
      <c r="C27" s="12" t="s">
        <v>6</v>
      </c>
      <c r="D27" s="4"/>
      <c r="E27" s="38" t="s">
        <v>58</v>
      </c>
      <c r="F27" s="17">
        <f>1958*20+451*20</f>
        <v>48180</v>
      </c>
      <c r="G27" s="35">
        <f>F27/3</f>
        <v>16060</v>
      </c>
      <c r="H27" s="5"/>
      <c r="I27" s="36" t="s">
        <v>59</v>
      </c>
      <c r="J27" s="37">
        <f>20000</f>
        <v>20000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9.75" customHeight="1">
      <c r="A28" s="4"/>
      <c r="B28" s="16" t="s">
        <v>60</v>
      </c>
      <c r="C28" s="17">
        <f>20000</f>
        <v>20000</v>
      </c>
      <c r="D28" s="4"/>
      <c r="E28" s="39" t="s">
        <v>61</v>
      </c>
      <c r="F28" s="17">
        <f>100000*4+100000</f>
        <v>500000</v>
      </c>
      <c r="G28" s="17">
        <f t="shared" ref="G28:G29" si="2">F28/10</f>
        <v>50000</v>
      </c>
      <c r="H28" s="5"/>
      <c r="I28" s="36" t="s">
        <v>62</v>
      </c>
      <c r="J28" s="37">
        <f>5000*10</f>
        <v>50000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9.75" customHeight="1">
      <c r="A29" s="4"/>
      <c r="B29" s="16" t="s">
        <v>63</v>
      </c>
      <c r="C29" s="17">
        <f>30000</f>
        <v>30000</v>
      </c>
      <c r="D29" s="5"/>
      <c r="E29" s="39" t="s">
        <v>64</v>
      </c>
      <c r="F29" s="17">
        <f>205260</f>
        <v>205260</v>
      </c>
      <c r="G29" s="17">
        <f t="shared" si="2"/>
        <v>20526</v>
      </c>
      <c r="H29" s="5"/>
      <c r="I29" s="36" t="s">
        <v>65</v>
      </c>
      <c r="J29" s="37">
        <f>15000</f>
        <v>15000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9.75" customHeight="1">
      <c r="A30" s="4"/>
      <c r="B30" s="16" t="s">
        <v>66</v>
      </c>
      <c r="C30" s="17">
        <f>4000*10+15000</f>
        <v>55000</v>
      </c>
      <c r="D30" s="5"/>
      <c r="E30" s="39" t="s">
        <v>67</v>
      </c>
      <c r="F30" s="17">
        <f>14000*20</f>
        <v>280000</v>
      </c>
      <c r="G30" s="17">
        <f t="shared" ref="G30:G33" si="3">F30/3</f>
        <v>93333.33333</v>
      </c>
      <c r="H30" s="5"/>
      <c r="I30" s="36" t="s">
        <v>68</v>
      </c>
      <c r="J30" s="37">
        <f>10000</f>
        <v>10000</v>
      </c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9.75" customHeight="1">
      <c r="A31" s="4"/>
      <c r="B31" s="16" t="s">
        <v>69</v>
      </c>
      <c r="C31" s="17">
        <f>5000*10</f>
        <v>50000</v>
      </c>
      <c r="D31" s="5"/>
      <c r="E31" s="39" t="s">
        <v>70</v>
      </c>
      <c r="F31" s="17">
        <f>2600*20</f>
        <v>52000</v>
      </c>
      <c r="G31" s="17">
        <f t="shared" si="3"/>
        <v>17333.33333</v>
      </c>
      <c r="H31" s="5"/>
      <c r="I31" s="40" t="s">
        <v>23</v>
      </c>
      <c r="J31" s="41">
        <f>SUM(J26:J30)</f>
        <v>125000</v>
      </c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9.75" customHeight="1">
      <c r="A32" s="4"/>
      <c r="B32" s="16" t="s">
        <v>71</v>
      </c>
      <c r="C32" s="17">
        <f>4500*10</f>
        <v>45000</v>
      </c>
      <c r="D32" s="5"/>
      <c r="E32" s="39" t="s">
        <v>72</v>
      </c>
      <c r="F32" s="17">
        <f>5637*20</f>
        <v>112740</v>
      </c>
      <c r="G32" s="17">
        <f t="shared" si="3"/>
        <v>37580</v>
      </c>
      <c r="H32" s="5"/>
      <c r="I32" s="4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9.75" customHeight="1">
      <c r="A33" s="4"/>
      <c r="B33" s="16" t="s">
        <v>73</v>
      </c>
      <c r="C33" s="17">
        <f>6000</f>
        <v>6000</v>
      </c>
      <c r="D33" s="5"/>
      <c r="E33" s="39" t="s">
        <v>74</v>
      </c>
      <c r="F33" s="17">
        <f>660*20</f>
        <v>13200</v>
      </c>
      <c r="G33" s="17">
        <f t="shared" si="3"/>
        <v>4400</v>
      </c>
      <c r="H33" s="5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9.75" customHeight="1">
      <c r="A34" s="4"/>
      <c r="B34" s="16" t="s">
        <v>75</v>
      </c>
      <c r="C34" s="17">
        <f>15000</f>
        <v>15000</v>
      </c>
      <c r="D34" s="5"/>
      <c r="E34" s="16" t="s">
        <v>76</v>
      </c>
      <c r="F34" s="17">
        <f>1000*12+26620</f>
        <v>38620</v>
      </c>
      <c r="G34" s="17">
        <f>F34/5</f>
        <v>7724</v>
      </c>
      <c r="H34" s="5"/>
      <c r="I34" s="4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9.75" customHeight="1">
      <c r="A35" s="4"/>
      <c r="B35" s="16" t="s">
        <v>77</v>
      </c>
      <c r="C35" s="17">
        <f>350*15*60</f>
        <v>315000</v>
      </c>
      <c r="D35" s="4"/>
      <c r="E35" s="29" t="s">
        <v>23</v>
      </c>
      <c r="F35" s="24">
        <f t="shared" ref="F35:G35" si="4">SUM(F26:F34)</f>
        <v>1300000</v>
      </c>
      <c r="G35" s="24">
        <f t="shared" si="4"/>
        <v>256956.6667</v>
      </c>
      <c r="H35" s="5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9.75" customHeight="1">
      <c r="A36" s="4"/>
      <c r="B36" s="29" t="s">
        <v>23</v>
      </c>
      <c r="C36" s="24">
        <f>SUM(C27:C35)</f>
        <v>536000</v>
      </c>
      <c r="D36" s="4"/>
      <c r="E36" s="4"/>
      <c r="F36" s="4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9.75" customHeight="1">
      <c r="A37" s="4"/>
      <c r="B37" s="29" t="s">
        <v>26</v>
      </c>
      <c r="C37" s="24">
        <f>C36/4</f>
        <v>134000</v>
      </c>
      <c r="D37" s="4"/>
      <c r="E37" s="4"/>
      <c r="F37" s="4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9.75" customHeight="1">
      <c r="A38" s="4"/>
      <c r="B38" s="42" t="s">
        <v>78</v>
      </c>
      <c r="C38" s="3"/>
      <c r="D38" s="3"/>
      <c r="E38" s="43"/>
      <c r="F38" s="4"/>
      <c r="G38" s="4"/>
      <c r="H38" s="5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9.75" customHeight="1">
      <c r="A39" s="4"/>
      <c r="B39" s="6"/>
      <c r="E39" s="43"/>
      <c r="F39" s="5"/>
      <c r="G39" s="5"/>
      <c r="H39" s="5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9.75" customHeight="1">
      <c r="A40" s="4"/>
      <c r="B40" s="6"/>
      <c r="E40" s="4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9.75" customHeight="1">
      <c r="A41" s="4"/>
      <c r="B41" s="44" t="s">
        <v>79</v>
      </c>
      <c r="C41" s="45"/>
      <c r="D41" s="46"/>
      <c r="E41" s="13"/>
      <c r="F41" s="13"/>
      <c r="G41" s="47"/>
      <c r="H41" s="47" t="s">
        <v>80</v>
      </c>
      <c r="I41" s="13"/>
      <c r="J41" s="13"/>
      <c r="K41" s="13"/>
      <c r="L41" s="13"/>
      <c r="M41" s="1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9.75" customHeight="1">
      <c r="A42" s="4"/>
      <c r="B42" s="48" t="s">
        <v>81</v>
      </c>
      <c r="C42" s="49" t="s">
        <v>82</v>
      </c>
      <c r="D42" s="12" t="s">
        <v>83</v>
      </c>
      <c r="E42" s="49" t="s">
        <v>84</v>
      </c>
      <c r="F42" s="49" t="s">
        <v>85</v>
      </c>
      <c r="G42" s="12" t="s">
        <v>11</v>
      </c>
      <c r="H42" s="12" t="s">
        <v>86</v>
      </c>
      <c r="I42" s="49" t="s">
        <v>53</v>
      </c>
      <c r="J42" s="49" t="s">
        <v>57</v>
      </c>
      <c r="K42" s="49" t="s">
        <v>34</v>
      </c>
      <c r="L42" s="49" t="s">
        <v>87</v>
      </c>
      <c r="M42" s="49" t="s">
        <v>30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9.75" customHeight="1">
      <c r="A43" s="4"/>
      <c r="B43" s="48" t="s">
        <v>88</v>
      </c>
      <c r="C43" s="50">
        <f>C14</f>
        <v>306864.12</v>
      </c>
      <c r="D43" s="50">
        <f>G15</f>
        <v>121492.4825</v>
      </c>
      <c r="E43" s="50">
        <f>J11</f>
        <v>200000</v>
      </c>
      <c r="F43" s="50">
        <f>C24</f>
        <v>143715</v>
      </c>
      <c r="G43" s="50">
        <f t="shared" ref="G43:G46" si="5">25000/4</f>
        <v>6250</v>
      </c>
      <c r="H43" s="50">
        <f t="shared" ref="H43:H46" si="6">95000</f>
        <v>95000</v>
      </c>
      <c r="I43" s="50">
        <f>J31/4</f>
        <v>31250</v>
      </c>
      <c r="J43" s="50">
        <f>C37</f>
        <v>134000</v>
      </c>
      <c r="K43" s="50">
        <f t="shared" ref="K43:K46" si="7">75000</f>
        <v>75000</v>
      </c>
      <c r="L43" s="50">
        <f t="shared" ref="L43:L46" si="8">175000</f>
        <v>175000</v>
      </c>
      <c r="M43" s="51">
        <f t="shared" ref="M43:M46" si="9">SUM(C43:L43)</f>
        <v>1288571.603</v>
      </c>
      <c r="N43" s="5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</row>
    <row r="44" ht="39.75" customHeight="1">
      <c r="A44" s="4"/>
      <c r="B44" s="48" t="s">
        <v>89</v>
      </c>
      <c r="C44" s="50">
        <f>C14</f>
        <v>306864.12</v>
      </c>
      <c r="D44" s="50">
        <f>G15</f>
        <v>121492.4825</v>
      </c>
      <c r="E44" s="50">
        <f t="shared" ref="E44:E46" si="10">E43</f>
        <v>200000</v>
      </c>
      <c r="F44" s="50">
        <f>C24</f>
        <v>143715</v>
      </c>
      <c r="G44" s="50">
        <f t="shared" si="5"/>
        <v>6250</v>
      </c>
      <c r="H44" s="50">
        <f t="shared" si="6"/>
        <v>95000</v>
      </c>
      <c r="I44" s="50">
        <f t="shared" ref="I44:I46" si="11">31250</f>
        <v>31250</v>
      </c>
      <c r="J44" s="50">
        <f t="shared" ref="J44:J46" si="12">134000</f>
        <v>134000</v>
      </c>
      <c r="K44" s="50">
        <f t="shared" si="7"/>
        <v>75000</v>
      </c>
      <c r="L44" s="50">
        <f t="shared" si="8"/>
        <v>175000</v>
      </c>
      <c r="M44" s="51">
        <f t="shared" si="9"/>
        <v>1288571.603</v>
      </c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</row>
    <row r="45" ht="39.75" customHeight="1">
      <c r="A45" s="4"/>
      <c r="B45" s="48" t="s">
        <v>90</v>
      </c>
      <c r="C45" s="50">
        <f>C14</f>
        <v>306864.12</v>
      </c>
      <c r="D45" s="50">
        <f>G15</f>
        <v>121492.4825</v>
      </c>
      <c r="E45" s="50">
        <f t="shared" si="10"/>
        <v>200000</v>
      </c>
      <c r="F45" s="50">
        <f>C24</f>
        <v>143715</v>
      </c>
      <c r="G45" s="50">
        <f t="shared" si="5"/>
        <v>6250</v>
      </c>
      <c r="H45" s="50">
        <f t="shared" si="6"/>
        <v>95000</v>
      </c>
      <c r="I45" s="50">
        <f t="shared" si="11"/>
        <v>31250</v>
      </c>
      <c r="J45" s="50">
        <f t="shared" si="12"/>
        <v>134000</v>
      </c>
      <c r="K45" s="50">
        <f t="shared" si="7"/>
        <v>75000</v>
      </c>
      <c r="L45" s="50">
        <f t="shared" si="8"/>
        <v>175000</v>
      </c>
      <c r="M45" s="51">
        <f t="shared" si="9"/>
        <v>1288571.603</v>
      </c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</row>
    <row r="46" ht="39.75" customHeight="1">
      <c r="A46" s="4"/>
      <c r="B46" s="48" t="s">
        <v>91</v>
      </c>
      <c r="C46" s="50">
        <f>C14</f>
        <v>306864.12</v>
      </c>
      <c r="D46" s="50">
        <f>G15</f>
        <v>121492.4825</v>
      </c>
      <c r="E46" s="50">
        <f t="shared" si="10"/>
        <v>200000</v>
      </c>
      <c r="F46" s="50">
        <f>C24</f>
        <v>143715</v>
      </c>
      <c r="G46" s="50">
        <f t="shared" si="5"/>
        <v>6250</v>
      </c>
      <c r="H46" s="50">
        <f t="shared" si="6"/>
        <v>95000</v>
      </c>
      <c r="I46" s="50">
        <f t="shared" si="11"/>
        <v>31250</v>
      </c>
      <c r="J46" s="50">
        <f t="shared" si="12"/>
        <v>134000</v>
      </c>
      <c r="K46" s="50">
        <f t="shared" si="7"/>
        <v>75000</v>
      </c>
      <c r="L46" s="50">
        <f t="shared" si="8"/>
        <v>175000</v>
      </c>
      <c r="M46" s="51">
        <f t="shared" si="9"/>
        <v>1288571.603</v>
      </c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</row>
    <row r="47" ht="39.75" customHeight="1">
      <c r="A47" s="4"/>
      <c r="B47" s="52" t="s">
        <v>23</v>
      </c>
      <c r="C47" s="51">
        <f>C13</f>
        <v>1227456.48</v>
      </c>
      <c r="D47" s="51">
        <f t="shared" ref="D47:M47" si="13">SUM(D43:D46)</f>
        <v>485969.93</v>
      </c>
      <c r="E47" s="51">
        <f t="shared" si="13"/>
        <v>800000</v>
      </c>
      <c r="F47" s="51">
        <f t="shared" si="13"/>
        <v>574860</v>
      </c>
      <c r="G47" s="51">
        <f t="shared" si="13"/>
        <v>25000</v>
      </c>
      <c r="H47" s="51">
        <f t="shared" si="13"/>
        <v>380000</v>
      </c>
      <c r="I47" s="51">
        <f t="shared" si="13"/>
        <v>125000</v>
      </c>
      <c r="J47" s="51">
        <f t="shared" si="13"/>
        <v>536000</v>
      </c>
      <c r="K47" s="51">
        <f t="shared" si="13"/>
        <v>300000</v>
      </c>
      <c r="L47" s="51">
        <f t="shared" si="13"/>
        <v>700000</v>
      </c>
      <c r="M47" s="51">
        <f t="shared" si="13"/>
        <v>5154286.41</v>
      </c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</row>
    <row r="48" ht="39.75" customHeight="1">
      <c r="A48" s="4"/>
      <c r="B48" s="5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</row>
    <row r="49" ht="39.75" customHeight="1">
      <c r="A49" s="4"/>
      <c r="B49" s="44" t="s">
        <v>92</v>
      </c>
      <c r="C49" s="54"/>
      <c r="D49" s="55"/>
      <c r="E49" s="56"/>
      <c r="F49" s="56"/>
      <c r="G49" s="57"/>
      <c r="H49" s="57" t="s">
        <v>80</v>
      </c>
      <c r="I49" s="56"/>
      <c r="J49" s="56"/>
      <c r="K49" s="56"/>
      <c r="L49" s="56"/>
      <c r="M49" s="56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</row>
    <row r="50" ht="39.75" customHeight="1">
      <c r="A50" s="4"/>
      <c r="B50" s="48" t="s">
        <v>81</v>
      </c>
      <c r="C50" s="49" t="s">
        <v>82</v>
      </c>
      <c r="D50" s="12" t="s">
        <v>83</v>
      </c>
      <c r="E50" s="49" t="s">
        <v>84</v>
      </c>
      <c r="F50" s="49" t="s">
        <v>85</v>
      </c>
      <c r="G50" s="12" t="s">
        <v>11</v>
      </c>
      <c r="H50" s="12" t="s">
        <v>86</v>
      </c>
      <c r="I50" s="49" t="s">
        <v>53</v>
      </c>
      <c r="J50" s="49" t="s">
        <v>57</v>
      </c>
      <c r="K50" s="49" t="s">
        <v>34</v>
      </c>
      <c r="L50" s="49" t="s">
        <v>87</v>
      </c>
      <c r="M50" s="49" t="s">
        <v>30</v>
      </c>
      <c r="N50" s="5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</row>
    <row r="51" ht="39.75" customHeight="1">
      <c r="A51" s="4"/>
      <c r="B51" s="48" t="s">
        <v>88</v>
      </c>
      <c r="C51" s="50">
        <f t="shared" ref="C51:D51" si="14">C43+C43*10%</f>
        <v>337550.532</v>
      </c>
      <c r="D51" s="50">
        <f t="shared" si="14"/>
        <v>133641.7308</v>
      </c>
      <c r="E51" s="50">
        <f>J11</f>
        <v>200000</v>
      </c>
      <c r="F51" s="50">
        <f>F43+F43*10%</f>
        <v>158086.5</v>
      </c>
      <c r="G51" s="50">
        <f t="shared" ref="G51:G54" si="16">(1500*15+1500*10+800*5)/4</f>
        <v>10375</v>
      </c>
      <c r="H51" s="50">
        <f t="shared" ref="H51:H54" si="17">95000</f>
        <v>95000</v>
      </c>
      <c r="I51" s="50">
        <f t="shared" ref="I51:I54" si="18">31250+I43*10%</f>
        <v>34375</v>
      </c>
      <c r="J51" s="50">
        <f>J43+J43*10%</f>
        <v>147400</v>
      </c>
      <c r="K51" s="50">
        <f t="shared" ref="K51:K54" si="19">75000</f>
        <v>75000</v>
      </c>
      <c r="L51" s="50">
        <f t="shared" ref="L51:L54" si="20">175000</f>
        <v>175000</v>
      </c>
      <c r="M51" s="51">
        <f t="shared" ref="M51:M54" si="21">SUM(C51:L51)</f>
        <v>1366428.763</v>
      </c>
      <c r="N51" s="5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</row>
    <row r="52" ht="39.75" customHeight="1">
      <c r="A52" s="4"/>
      <c r="B52" s="48" t="s">
        <v>89</v>
      </c>
      <c r="C52" s="50">
        <f t="shared" ref="C52:F52" si="15">C51</f>
        <v>337550.532</v>
      </c>
      <c r="D52" s="50">
        <f t="shared" si="15"/>
        <v>133641.7308</v>
      </c>
      <c r="E52" s="50">
        <f t="shared" si="15"/>
        <v>200000</v>
      </c>
      <c r="F52" s="50">
        <f t="shared" si="15"/>
        <v>158086.5</v>
      </c>
      <c r="G52" s="50">
        <f t="shared" si="16"/>
        <v>10375</v>
      </c>
      <c r="H52" s="50">
        <f t="shared" si="17"/>
        <v>95000</v>
      </c>
      <c r="I52" s="50">
        <f t="shared" si="18"/>
        <v>34375</v>
      </c>
      <c r="J52" s="50">
        <f t="shared" ref="J52:J54" si="23">J51</f>
        <v>147400</v>
      </c>
      <c r="K52" s="50">
        <f t="shared" si="19"/>
        <v>75000</v>
      </c>
      <c r="L52" s="50">
        <f t="shared" si="20"/>
        <v>175000</v>
      </c>
      <c r="M52" s="51">
        <f t="shared" si="21"/>
        <v>1366428.763</v>
      </c>
      <c r="N52" s="58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</row>
    <row r="53" ht="39.75" customHeight="1">
      <c r="A53" s="4"/>
      <c r="B53" s="48" t="s">
        <v>90</v>
      </c>
      <c r="C53" s="50">
        <f t="shared" ref="C53:F53" si="22">C52</f>
        <v>337550.532</v>
      </c>
      <c r="D53" s="50">
        <f t="shared" si="22"/>
        <v>133641.7308</v>
      </c>
      <c r="E53" s="50">
        <f t="shared" si="22"/>
        <v>200000</v>
      </c>
      <c r="F53" s="50">
        <f t="shared" si="22"/>
        <v>158086.5</v>
      </c>
      <c r="G53" s="50">
        <f t="shared" si="16"/>
        <v>10375</v>
      </c>
      <c r="H53" s="50">
        <f t="shared" si="17"/>
        <v>95000</v>
      </c>
      <c r="I53" s="50">
        <f t="shared" si="18"/>
        <v>34375</v>
      </c>
      <c r="J53" s="50">
        <f t="shared" si="23"/>
        <v>147400</v>
      </c>
      <c r="K53" s="50">
        <f t="shared" si="19"/>
        <v>75000</v>
      </c>
      <c r="L53" s="50">
        <f t="shared" si="20"/>
        <v>175000</v>
      </c>
      <c r="M53" s="51">
        <f t="shared" si="21"/>
        <v>1366428.763</v>
      </c>
      <c r="N53" s="58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</row>
    <row r="54" ht="39.75" customHeight="1">
      <c r="A54" s="4"/>
      <c r="B54" s="48" t="s">
        <v>91</v>
      </c>
      <c r="C54" s="50">
        <f t="shared" ref="C54:F54" si="24">C53</f>
        <v>337550.532</v>
      </c>
      <c r="D54" s="50">
        <f t="shared" si="24"/>
        <v>133641.7308</v>
      </c>
      <c r="E54" s="50">
        <f t="shared" si="24"/>
        <v>200000</v>
      </c>
      <c r="F54" s="50">
        <f t="shared" si="24"/>
        <v>158086.5</v>
      </c>
      <c r="G54" s="50">
        <f t="shared" si="16"/>
        <v>10375</v>
      </c>
      <c r="H54" s="50">
        <f t="shared" si="17"/>
        <v>95000</v>
      </c>
      <c r="I54" s="50">
        <f t="shared" si="18"/>
        <v>34375</v>
      </c>
      <c r="J54" s="50">
        <f t="shared" si="23"/>
        <v>147400</v>
      </c>
      <c r="K54" s="50">
        <f t="shared" si="19"/>
        <v>75000</v>
      </c>
      <c r="L54" s="50">
        <f t="shared" si="20"/>
        <v>175000</v>
      </c>
      <c r="M54" s="51">
        <f t="shared" si="21"/>
        <v>1366428.763</v>
      </c>
      <c r="N54" s="58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</row>
    <row r="55" ht="39.75" customHeight="1">
      <c r="A55" s="4"/>
      <c r="B55" s="52" t="s">
        <v>23</v>
      </c>
      <c r="C55" s="51">
        <f t="shared" ref="C55:M55" si="25">SUM(C51:C54)</f>
        <v>1350202.128</v>
      </c>
      <c r="D55" s="51">
        <f t="shared" si="25"/>
        <v>534566.923</v>
      </c>
      <c r="E55" s="51">
        <f t="shared" si="25"/>
        <v>800000</v>
      </c>
      <c r="F55" s="51">
        <f t="shared" si="25"/>
        <v>632346</v>
      </c>
      <c r="G55" s="51">
        <f t="shared" si="25"/>
        <v>41500</v>
      </c>
      <c r="H55" s="51">
        <f t="shared" si="25"/>
        <v>380000</v>
      </c>
      <c r="I55" s="51">
        <f t="shared" si="25"/>
        <v>137500</v>
      </c>
      <c r="J55" s="51">
        <f t="shared" si="25"/>
        <v>589600</v>
      </c>
      <c r="K55" s="51">
        <f t="shared" si="25"/>
        <v>300000</v>
      </c>
      <c r="L55" s="51">
        <f t="shared" si="25"/>
        <v>700000</v>
      </c>
      <c r="M55" s="51">
        <f t="shared" si="25"/>
        <v>5465715.051</v>
      </c>
      <c r="N55" s="58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</row>
    <row r="56" ht="39.75" customHeight="1">
      <c r="A56" s="4"/>
      <c r="B56" s="5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9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</row>
    <row r="57" ht="39.75" customHeight="1">
      <c r="A57" s="4"/>
      <c r="B57" s="44" t="s">
        <v>93</v>
      </c>
      <c r="C57" s="45"/>
      <c r="D57" s="46"/>
      <c r="E57" s="13"/>
      <c r="F57" s="13"/>
      <c r="G57" s="47"/>
      <c r="H57" s="47" t="s">
        <v>80</v>
      </c>
      <c r="I57" s="13"/>
      <c r="J57" s="13"/>
      <c r="K57" s="13"/>
      <c r="L57" s="13"/>
      <c r="M57" s="13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</row>
    <row r="58" ht="39.75" customHeight="1">
      <c r="A58" s="4"/>
      <c r="B58" s="48" t="s">
        <v>81</v>
      </c>
      <c r="C58" s="49" t="s">
        <v>82</v>
      </c>
      <c r="D58" s="12" t="s">
        <v>83</v>
      </c>
      <c r="E58" s="49" t="s">
        <v>84</v>
      </c>
      <c r="F58" s="49" t="s">
        <v>85</v>
      </c>
      <c r="G58" s="12" t="s">
        <v>11</v>
      </c>
      <c r="H58" s="12" t="s">
        <v>86</v>
      </c>
      <c r="I58" s="49" t="s">
        <v>53</v>
      </c>
      <c r="J58" s="49" t="s">
        <v>57</v>
      </c>
      <c r="K58" s="49" t="s">
        <v>34</v>
      </c>
      <c r="L58" s="49" t="s">
        <v>87</v>
      </c>
      <c r="M58" s="49" t="s">
        <v>30</v>
      </c>
      <c r="N58" s="5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</row>
    <row r="59" ht="39.75" customHeight="1">
      <c r="A59" s="4"/>
      <c r="B59" s="48" t="s">
        <v>88</v>
      </c>
      <c r="C59" s="50">
        <f t="shared" ref="C59:D59" si="26">C51+C51*10%</f>
        <v>371305.5852</v>
      </c>
      <c r="D59" s="50">
        <f t="shared" si="26"/>
        <v>147005.9038</v>
      </c>
      <c r="E59" s="50">
        <f>J11</f>
        <v>200000</v>
      </c>
      <c r="F59" s="50">
        <f t="shared" ref="F59:F62" si="29">F51+F51*10%</f>
        <v>173895.15</v>
      </c>
      <c r="G59" s="50">
        <f t="shared" ref="G59:G62" si="30">(2000*15+2000*10+1000*5)/4</f>
        <v>13750</v>
      </c>
      <c r="H59" s="50">
        <f t="shared" ref="H59:H62" si="31">95000</f>
        <v>95000</v>
      </c>
      <c r="I59" s="50">
        <f t="shared" ref="I59:J59" si="27">I51+I51*10%</f>
        <v>37812.5</v>
      </c>
      <c r="J59" s="50">
        <f t="shared" si="27"/>
        <v>162140</v>
      </c>
      <c r="K59" s="50">
        <f t="shared" ref="K59:K62" si="33">75000</f>
        <v>75000</v>
      </c>
      <c r="L59" s="50">
        <f t="shared" ref="L59:L62" si="34">175000</f>
        <v>175000</v>
      </c>
      <c r="M59" s="51">
        <f t="shared" ref="M59:M62" si="35">SUM(C59:L59)</f>
        <v>1450909.139</v>
      </c>
      <c r="N59" s="5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</row>
    <row r="60" ht="39.75" customHeight="1">
      <c r="A60" s="4"/>
      <c r="B60" s="48" t="s">
        <v>89</v>
      </c>
      <c r="C60" s="50">
        <f t="shared" ref="C60:D60" si="28">C52+C52*10%</f>
        <v>371305.5852</v>
      </c>
      <c r="D60" s="50">
        <f t="shared" si="28"/>
        <v>147005.9038</v>
      </c>
      <c r="E60" s="50">
        <f t="shared" ref="E60:E62" si="37">E59</f>
        <v>200000</v>
      </c>
      <c r="F60" s="50">
        <f t="shared" si="29"/>
        <v>173895.15</v>
      </c>
      <c r="G60" s="50">
        <f t="shared" si="30"/>
        <v>13750</v>
      </c>
      <c r="H60" s="50">
        <f t="shared" si="31"/>
        <v>95000</v>
      </c>
      <c r="I60" s="50">
        <f t="shared" ref="I60:J60" si="32">I52+I52*10%</f>
        <v>37812.5</v>
      </c>
      <c r="J60" s="50">
        <f t="shared" si="32"/>
        <v>162140</v>
      </c>
      <c r="K60" s="50">
        <f t="shared" si="33"/>
        <v>75000</v>
      </c>
      <c r="L60" s="50">
        <f t="shared" si="34"/>
        <v>175000</v>
      </c>
      <c r="M60" s="51">
        <f t="shared" si="35"/>
        <v>1450909.139</v>
      </c>
      <c r="N60" s="58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</row>
    <row r="61" ht="39.75" customHeight="1">
      <c r="A61" s="4"/>
      <c r="B61" s="48" t="s">
        <v>90</v>
      </c>
      <c r="C61" s="50">
        <f t="shared" ref="C61:D61" si="36">C53+C53*10%</f>
        <v>371305.5852</v>
      </c>
      <c r="D61" s="50">
        <f t="shared" si="36"/>
        <v>147005.9038</v>
      </c>
      <c r="E61" s="50">
        <f t="shared" si="37"/>
        <v>200000</v>
      </c>
      <c r="F61" s="50">
        <f t="shared" si="29"/>
        <v>173895.15</v>
      </c>
      <c r="G61" s="50">
        <f t="shared" si="30"/>
        <v>13750</v>
      </c>
      <c r="H61" s="50">
        <f t="shared" si="31"/>
        <v>95000</v>
      </c>
      <c r="I61" s="50">
        <f t="shared" ref="I61:J61" si="38">I53+I53*10%</f>
        <v>37812.5</v>
      </c>
      <c r="J61" s="50">
        <f t="shared" si="38"/>
        <v>162140</v>
      </c>
      <c r="K61" s="50">
        <f t="shared" si="33"/>
        <v>75000</v>
      </c>
      <c r="L61" s="50">
        <f t="shared" si="34"/>
        <v>175000</v>
      </c>
      <c r="M61" s="51">
        <f t="shared" si="35"/>
        <v>1450909.139</v>
      </c>
      <c r="N61" s="58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</row>
    <row r="62" ht="39.75" customHeight="1">
      <c r="A62" s="4"/>
      <c r="B62" s="48" t="s">
        <v>91</v>
      </c>
      <c r="C62" s="50">
        <f t="shared" ref="C62:D62" si="39">C54+C54*10%</f>
        <v>371305.5852</v>
      </c>
      <c r="D62" s="50">
        <f t="shared" si="39"/>
        <v>147005.9038</v>
      </c>
      <c r="E62" s="50">
        <f t="shared" si="37"/>
        <v>200000</v>
      </c>
      <c r="F62" s="50">
        <f t="shared" si="29"/>
        <v>173895.15</v>
      </c>
      <c r="G62" s="50">
        <f t="shared" si="30"/>
        <v>13750</v>
      </c>
      <c r="H62" s="50">
        <f t="shared" si="31"/>
        <v>95000</v>
      </c>
      <c r="I62" s="50">
        <f t="shared" ref="I62:J62" si="40">I54+I54*10%</f>
        <v>37812.5</v>
      </c>
      <c r="J62" s="50">
        <f t="shared" si="40"/>
        <v>162140</v>
      </c>
      <c r="K62" s="50">
        <f t="shared" si="33"/>
        <v>75000</v>
      </c>
      <c r="L62" s="50">
        <f t="shared" si="34"/>
        <v>175000</v>
      </c>
      <c r="M62" s="51">
        <f t="shared" si="35"/>
        <v>1450909.139</v>
      </c>
      <c r="N62" s="58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</row>
    <row r="63" ht="39.75" customHeight="1">
      <c r="A63" s="4"/>
      <c r="B63" s="52" t="s">
        <v>23</v>
      </c>
      <c r="C63" s="51">
        <f t="shared" ref="C63:M63" si="41">SUM(C59:C62)</f>
        <v>1485222.341</v>
      </c>
      <c r="D63" s="51">
        <f t="shared" si="41"/>
        <v>588023.6153</v>
      </c>
      <c r="E63" s="51">
        <f t="shared" si="41"/>
        <v>800000</v>
      </c>
      <c r="F63" s="51">
        <f t="shared" si="41"/>
        <v>695580.6</v>
      </c>
      <c r="G63" s="51">
        <f t="shared" si="41"/>
        <v>55000</v>
      </c>
      <c r="H63" s="51">
        <f t="shared" si="41"/>
        <v>380000</v>
      </c>
      <c r="I63" s="51">
        <f t="shared" si="41"/>
        <v>151250</v>
      </c>
      <c r="J63" s="51">
        <f t="shared" si="41"/>
        <v>648560</v>
      </c>
      <c r="K63" s="51">
        <f t="shared" si="41"/>
        <v>300000</v>
      </c>
      <c r="L63" s="51">
        <f t="shared" si="41"/>
        <v>700000</v>
      </c>
      <c r="M63" s="51">
        <f t="shared" si="41"/>
        <v>5803636.556</v>
      </c>
      <c r="N63" s="58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</row>
    <row r="64" ht="39.75" customHeight="1">
      <c r="A64" s="4"/>
      <c r="B64" s="5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9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</row>
    <row r="65" ht="39.75" customHeight="1">
      <c r="A65" s="4"/>
      <c r="B65" s="44" t="s">
        <v>94</v>
      </c>
      <c r="C65" s="45"/>
      <c r="D65" s="46"/>
      <c r="E65" s="13"/>
      <c r="F65" s="13"/>
      <c r="G65" s="47"/>
      <c r="H65" s="47" t="s">
        <v>80</v>
      </c>
      <c r="I65" s="13"/>
      <c r="J65" s="13"/>
      <c r="K65" s="13"/>
      <c r="L65" s="13"/>
      <c r="M65" s="13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</row>
    <row r="66" ht="39.75" customHeight="1">
      <c r="A66" s="4"/>
      <c r="B66" s="48" t="s">
        <v>81</v>
      </c>
      <c r="C66" s="49" t="s">
        <v>82</v>
      </c>
      <c r="D66" s="12" t="s">
        <v>83</v>
      </c>
      <c r="E66" s="49" t="s">
        <v>84</v>
      </c>
      <c r="F66" s="49" t="s">
        <v>85</v>
      </c>
      <c r="G66" s="12" t="s">
        <v>11</v>
      </c>
      <c r="H66" s="12" t="s">
        <v>86</v>
      </c>
      <c r="I66" s="49" t="s">
        <v>53</v>
      </c>
      <c r="J66" s="49" t="s">
        <v>57</v>
      </c>
      <c r="K66" s="49" t="s">
        <v>34</v>
      </c>
      <c r="L66" s="49" t="s">
        <v>87</v>
      </c>
      <c r="M66" s="49" t="s">
        <v>30</v>
      </c>
      <c r="N66" s="5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</row>
    <row r="67" ht="39.75" customHeight="1">
      <c r="A67" s="4"/>
      <c r="B67" s="48" t="s">
        <v>88</v>
      </c>
      <c r="C67" s="50">
        <f t="shared" ref="C67:D67" si="42">C59+C59*10%</f>
        <v>408436.1437</v>
      </c>
      <c r="D67" s="50">
        <f t="shared" si="42"/>
        <v>161706.4942</v>
      </c>
      <c r="E67" s="50">
        <f>J11</f>
        <v>200000</v>
      </c>
      <c r="F67" s="50">
        <f t="shared" ref="F67:F70" si="45">F59+F59*10%</f>
        <v>191284.665</v>
      </c>
      <c r="G67" s="50">
        <f t="shared" ref="G67:G70" si="46">(3000*15+3000*10+1500*5)/4</f>
        <v>20625</v>
      </c>
      <c r="H67" s="50">
        <f t="shared" ref="H67:H70" si="47">95000</f>
        <v>95000</v>
      </c>
      <c r="I67" s="50">
        <f t="shared" ref="I67:J67" si="43">I59+I59*10%</f>
        <v>41593.75</v>
      </c>
      <c r="J67" s="50">
        <f t="shared" si="43"/>
        <v>178354</v>
      </c>
      <c r="K67" s="50">
        <f t="shared" ref="K67:K70" si="49">75000</f>
        <v>75000</v>
      </c>
      <c r="L67" s="50">
        <f t="shared" ref="L67:L70" si="50">175000</f>
        <v>175000</v>
      </c>
      <c r="M67" s="51">
        <f t="shared" ref="M67:M70" si="51">SUM(C67:L67)</f>
        <v>1547000.053</v>
      </c>
      <c r="N67" s="5"/>
      <c r="O67" s="5"/>
      <c r="P67" s="5"/>
      <c r="Q67" s="5"/>
      <c r="R67" s="5"/>
      <c r="S67" s="60"/>
      <c r="T67" s="5"/>
      <c r="U67" s="5"/>
      <c r="V67" s="5"/>
      <c r="W67" s="5"/>
      <c r="X67" s="5"/>
      <c r="Y67" s="5"/>
    </row>
    <row r="68" ht="39.75" customHeight="1">
      <c r="A68" s="4"/>
      <c r="B68" s="48" t="s">
        <v>89</v>
      </c>
      <c r="C68" s="50">
        <f t="shared" ref="C68:D68" si="44">C60+C60*10%</f>
        <v>408436.1437</v>
      </c>
      <c r="D68" s="50">
        <f t="shared" si="44"/>
        <v>161706.4942</v>
      </c>
      <c r="E68" s="50">
        <f t="shared" ref="E68:E70" si="53">E67</f>
        <v>200000</v>
      </c>
      <c r="F68" s="50">
        <f t="shared" si="45"/>
        <v>191284.665</v>
      </c>
      <c r="G68" s="50">
        <f t="shared" si="46"/>
        <v>20625</v>
      </c>
      <c r="H68" s="50">
        <f t="shared" si="47"/>
        <v>95000</v>
      </c>
      <c r="I68" s="50">
        <f t="shared" ref="I68:J68" si="48">I60+I60*10%</f>
        <v>41593.75</v>
      </c>
      <c r="J68" s="50">
        <f t="shared" si="48"/>
        <v>178354</v>
      </c>
      <c r="K68" s="50">
        <f t="shared" si="49"/>
        <v>75000</v>
      </c>
      <c r="L68" s="50">
        <f t="shared" si="50"/>
        <v>175000</v>
      </c>
      <c r="M68" s="51">
        <f t="shared" si="51"/>
        <v>1547000.053</v>
      </c>
      <c r="N68" s="58"/>
      <c r="O68" s="5"/>
      <c r="P68" s="59"/>
      <c r="Q68" s="5"/>
      <c r="R68" s="59"/>
      <c r="S68" s="60"/>
      <c r="T68" s="5"/>
      <c r="U68" s="5"/>
      <c r="V68" s="5"/>
      <c r="W68" s="5"/>
      <c r="X68" s="5"/>
      <c r="Y68" s="5"/>
    </row>
    <row r="69" ht="39.75" customHeight="1">
      <c r="A69" s="4"/>
      <c r="B69" s="48" t="s">
        <v>90</v>
      </c>
      <c r="C69" s="50">
        <f t="shared" ref="C69:D69" si="52">C61+C61*10%</f>
        <v>408436.1437</v>
      </c>
      <c r="D69" s="50">
        <f t="shared" si="52"/>
        <v>161706.4942</v>
      </c>
      <c r="E69" s="50">
        <f t="shared" si="53"/>
        <v>200000</v>
      </c>
      <c r="F69" s="50">
        <f t="shared" si="45"/>
        <v>191284.665</v>
      </c>
      <c r="G69" s="50">
        <f t="shared" si="46"/>
        <v>20625</v>
      </c>
      <c r="H69" s="50">
        <f t="shared" si="47"/>
        <v>95000</v>
      </c>
      <c r="I69" s="50">
        <f t="shared" ref="I69:J69" si="54">I61+I61*10%</f>
        <v>41593.75</v>
      </c>
      <c r="J69" s="50">
        <f t="shared" si="54"/>
        <v>178354</v>
      </c>
      <c r="K69" s="50">
        <f t="shared" si="49"/>
        <v>75000</v>
      </c>
      <c r="L69" s="50">
        <f t="shared" si="50"/>
        <v>175000</v>
      </c>
      <c r="M69" s="51">
        <f t="shared" si="51"/>
        <v>1547000.053</v>
      </c>
      <c r="N69" s="58"/>
      <c r="O69" s="5"/>
      <c r="P69" s="59"/>
      <c r="Q69" s="60"/>
      <c r="R69" s="5"/>
      <c r="S69" s="5"/>
      <c r="T69" s="5"/>
      <c r="U69" s="5"/>
      <c r="V69" s="5"/>
      <c r="W69" s="5"/>
      <c r="X69" s="5"/>
      <c r="Y69" s="5"/>
    </row>
    <row r="70" ht="39.75" customHeight="1">
      <c r="A70" s="4"/>
      <c r="B70" s="48" t="s">
        <v>91</v>
      </c>
      <c r="C70" s="50">
        <f t="shared" ref="C70:D70" si="55">C62+C62*10%</f>
        <v>408436.1437</v>
      </c>
      <c r="D70" s="50">
        <f t="shared" si="55"/>
        <v>161706.4942</v>
      </c>
      <c r="E70" s="50">
        <f t="shared" si="53"/>
        <v>200000</v>
      </c>
      <c r="F70" s="50">
        <f t="shared" si="45"/>
        <v>191284.665</v>
      </c>
      <c r="G70" s="50">
        <f t="shared" si="46"/>
        <v>20625</v>
      </c>
      <c r="H70" s="50">
        <f t="shared" si="47"/>
        <v>95000</v>
      </c>
      <c r="I70" s="50">
        <f t="shared" ref="I70:J70" si="56">I62+I62*10%</f>
        <v>41593.75</v>
      </c>
      <c r="J70" s="50">
        <f t="shared" si="56"/>
        <v>178354</v>
      </c>
      <c r="K70" s="50">
        <f t="shared" si="49"/>
        <v>75000</v>
      </c>
      <c r="L70" s="50">
        <f t="shared" si="50"/>
        <v>175000</v>
      </c>
      <c r="M70" s="51">
        <f t="shared" si="51"/>
        <v>1547000.053</v>
      </c>
      <c r="N70" s="58"/>
      <c r="O70" s="5"/>
      <c r="P70" s="59"/>
      <c r="Q70" s="61"/>
      <c r="R70" s="59"/>
      <c r="S70" s="60"/>
      <c r="T70" s="25"/>
      <c r="U70" s="5"/>
      <c r="V70" s="5"/>
      <c r="W70" s="5"/>
      <c r="X70" s="5"/>
      <c r="Y70" s="5"/>
    </row>
    <row r="71" ht="39.75" customHeight="1">
      <c r="A71" s="4"/>
      <c r="B71" s="52" t="s">
        <v>23</v>
      </c>
      <c r="C71" s="51">
        <f t="shared" ref="C71:M71" si="57">SUM(C67:C70)</f>
        <v>1633744.575</v>
      </c>
      <c r="D71" s="51">
        <f t="shared" si="57"/>
        <v>646825.9768</v>
      </c>
      <c r="E71" s="51">
        <f t="shared" si="57"/>
        <v>800000</v>
      </c>
      <c r="F71" s="51">
        <f t="shared" si="57"/>
        <v>765138.66</v>
      </c>
      <c r="G71" s="51">
        <f t="shared" si="57"/>
        <v>82500</v>
      </c>
      <c r="H71" s="51">
        <f t="shared" si="57"/>
        <v>380000</v>
      </c>
      <c r="I71" s="51">
        <f t="shared" si="57"/>
        <v>166375</v>
      </c>
      <c r="J71" s="51">
        <f t="shared" si="57"/>
        <v>713416</v>
      </c>
      <c r="K71" s="51">
        <f t="shared" si="57"/>
        <v>300000</v>
      </c>
      <c r="L71" s="51">
        <f t="shared" si="57"/>
        <v>700000</v>
      </c>
      <c r="M71" s="51">
        <f t="shared" si="57"/>
        <v>6188000.212</v>
      </c>
      <c r="N71" s="58"/>
      <c r="O71" s="5"/>
      <c r="P71" s="59"/>
      <c r="Q71" s="60"/>
      <c r="R71" s="5"/>
      <c r="S71" s="5"/>
      <c r="T71" s="5"/>
      <c r="U71" s="5"/>
      <c r="V71" s="5"/>
      <c r="W71" s="5"/>
      <c r="X71" s="5"/>
      <c r="Y71" s="5"/>
    </row>
    <row r="72" ht="39.75" customHeight="1">
      <c r="A72" s="4"/>
      <c r="B72" s="5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9"/>
      <c r="O72" s="5"/>
      <c r="P72" s="59"/>
      <c r="Q72" s="60"/>
      <c r="R72" s="5"/>
      <c r="S72" s="5"/>
      <c r="T72" s="5"/>
      <c r="U72" s="5"/>
      <c r="V72" s="5"/>
      <c r="W72" s="5"/>
      <c r="X72" s="5"/>
      <c r="Y72" s="5"/>
    </row>
    <row r="73" ht="39.75" customHeight="1">
      <c r="A73" s="4"/>
      <c r="B73" s="44" t="s">
        <v>95</v>
      </c>
      <c r="C73" s="45"/>
      <c r="D73" s="46"/>
      <c r="E73" s="13"/>
      <c r="F73" s="13"/>
      <c r="G73" s="47"/>
      <c r="H73" s="47" t="s">
        <v>80</v>
      </c>
      <c r="I73" s="13"/>
      <c r="J73" s="13"/>
      <c r="K73" s="13"/>
      <c r="L73" s="13"/>
      <c r="M73" s="13"/>
      <c r="N73" s="4"/>
      <c r="O73" s="5"/>
      <c r="P73" s="5"/>
      <c r="Q73" s="5"/>
      <c r="R73" s="5"/>
      <c r="S73" s="4"/>
      <c r="T73" s="5"/>
      <c r="U73" s="5"/>
      <c r="V73" s="5"/>
      <c r="W73" s="5"/>
      <c r="X73" s="5"/>
      <c r="Y73" s="5"/>
    </row>
    <row r="74" ht="39.75" customHeight="1">
      <c r="A74" s="4"/>
      <c r="B74" s="48" t="s">
        <v>81</v>
      </c>
      <c r="C74" s="49" t="s">
        <v>82</v>
      </c>
      <c r="D74" s="12" t="s">
        <v>83</v>
      </c>
      <c r="E74" s="49" t="s">
        <v>84</v>
      </c>
      <c r="F74" s="49" t="s">
        <v>85</v>
      </c>
      <c r="G74" s="12" t="s">
        <v>11</v>
      </c>
      <c r="H74" s="12" t="s">
        <v>86</v>
      </c>
      <c r="I74" s="49" t="s">
        <v>53</v>
      </c>
      <c r="J74" s="49" t="s">
        <v>57</v>
      </c>
      <c r="K74" s="49" t="s">
        <v>34</v>
      </c>
      <c r="L74" s="49" t="s">
        <v>87</v>
      </c>
      <c r="M74" s="49" t="s">
        <v>30</v>
      </c>
      <c r="N74" s="5"/>
      <c r="O74" s="25"/>
      <c r="P74" s="25"/>
      <c r="Q74" s="25"/>
      <c r="R74" s="5"/>
      <c r="S74" s="5"/>
      <c r="T74" s="5"/>
      <c r="U74" s="5"/>
      <c r="V74" s="5"/>
      <c r="W74" s="5"/>
      <c r="X74" s="5"/>
      <c r="Y74" s="5"/>
    </row>
    <row r="75" ht="39.75" customHeight="1">
      <c r="A75" s="4"/>
      <c r="B75" s="48" t="s">
        <v>88</v>
      </c>
      <c r="C75" s="50">
        <f t="shared" ref="C75:D75" si="58">C67+C67*10%</f>
        <v>449279.7581</v>
      </c>
      <c r="D75" s="50">
        <f t="shared" si="58"/>
        <v>177877.1436</v>
      </c>
      <c r="E75" s="50">
        <f>J11</f>
        <v>200000</v>
      </c>
      <c r="F75" s="50">
        <f t="shared" ref="F75:F78" si="61">F67+F67*10%</f>
        <v>210413.1315</v>
      </c>
      <c r="G75" s="50">
        <f t="shared" ref="G75:G78" si="62">(3500*15+3500*10+2000*5)/4</f>
        <v>24375</v>
      </c>
      <c r="H75" s="50">
        <f t="shared" ref="H75:H78" si="63">95000</f>
        <v>95000</v>
      </c>
      <c r="I75" s="50">
        <f t="shared" ref="I75:J75" si="59">I67+I67*10%</f>
        <v>45753.125</v>
      </c>
      <c r="J75" s="50">
        <f t="shared" si="59"/>
        <v>196189.4</v>
      </c>
      <c r="K75" s="50">
        <f t="shared" ref="K75:K78" si="65">75000</f>
        <v>75000</v>
      </c>
      <c r="L75" s="50">
        <f t="shared" ref="L75:L78" si="66">175000</f>
        <v>175000</v>
      </c>
      <c r="M75" s="51">
        <f t="shared" ref="M75:M78" si="67">SUM(C75:L75)</f>
        <v>1648887.558</v>
      </c>
      <c r="N75" s="5"/>
      <c r="O75" s="62"/>
      <c r="P75" s="62"/>
      <c r="Q75" s="63"/>
      <c r="R75" s="5"/>
      <c r="S75" s="5"/>
      <c r="T75" s="64"/>
      <c r="U75" s="5"/>
      <c r="V75" s="5"/>
      <c r="W75" s="5"/>
      <c r="X75" s="5"/>
      <c r="Y75" s="5"/>
    </row>
    <row r="76" ht="39.75" customHeight="1">
      <c r="A76" s="4"/>
      <c r="B76" s="48" t="s">
        <v>89</v>
      </c>
      <c r="C76" s="50">
        <f t="shared" ref="C76:D76" si="60">C68+C68*10%</f>
        <v>449279.7581</v>
      </c>
      <c r="D76" s="50">
        <f t="shared" si="60"/>
        <v>177877.1436</v>
      </c>
      <c r="E76" s="50">
        <f t="shared" ref="E76:E78" si="69">E75</f>
        <v>200000</v>
      </c>
      <c r="F76" s="50">
        <f t="shared" si="61"/>
        <v>210413.1315</v>
      </c>
      <c r="G76" s="50">
        <f t="shared" si="62"/>
        <v>24375</v>
      </c>
      <c r="H76" s="50">
        <f t="shared" si="63"/>
        <v>95000</v>
      </c>
      <c r="I76" s="50">
        <f t="shared" ref="I76:J76" si="64">I68+I68*10%</f>
        <v>45753.125</v>
      </c>
      <c r="J76" s="50">
        <f t="shared" si="64"/>
        <v>196189.4</v>
      </c>
      <c r="K76" s="50">
        <f t="shared" si="65"/>
        <v>75000</v>
      </c>
      <c r="L76" s="50">
        <f t="shared" si="66"/>
        <v>175000</v>
      </c>
      <c r="M76" s="51">
        <f t="shared" si="67"/>
        <v>1648887.558</v>
      </c>
      <c r="N76" s="58"/>
      <c r="O76" s="65"/>
      <c r="P76" s="65"/>
      <c r="Q76" s="63"/>
      <c r="R76" s="5"/>
      <c r="S76" s="5"/>
      <c r="T76" s="66"/>
      <c r="U76" s="5"/>
      <c r="V76" s="5"/>
      <c r="W76" s="5"/>
      <c r="X76" s="5"/>
      <c r="Y76" s="5"/>
    </row>
    <row r="77" ht="39.75" customHeight="1">
      <c r="A77" s="4"/>
      <c r="B77" s="48" t="s">
        <v>90</v>
      </c>
      <c r="C77" s="50">
        <f t="shared" ref="C77:D77" si="68">C69+C69*10%</f>
        <v>449279.7581</v>
      </c>
      <c r="D77" s="50">
        <f t="shared" si="68"/>
        <v>177877.1436</v>
      </c>
      <c r="E77" s="50">
        <f t="shared" si="69"/>
        <v>200000</v>
      </c>
      <c r="F77" s="50">
        <f t="shared" si="61"/>
        <v>210413.1315</v>
      </c>
      <c r="G77" s="50">
        <f t="shared" si="62"/>
        <v>24375</v>
      </c>
      <c r="H77" s="50">
        <f t="shared" si="63"/>
        <v>95000</v>
      </c>
      <c r="I77" s="50">
        <f t="shared" ref="I77:J77" si="70">I69+I69*10%</f>
        <v>45753.125</v>
      </c>
      <c r="J77" s="50">
        <f t="shared" si="70"/>
        <v>196189.4</v>
      </c>
      <c r="K77" s="50">
        <f t="shared" si="65"/>
        <v>75000</v>
      </c>
      <c r="L77" s="50">
        <f t="shared" si="66"/>
        <v>175000</v>
      </c>
      <c r="M77" s="51">
        <f t="shared" si="67"/>
        <v>1648887.558</v>
      </c>
      <c r="N77" s="58"/>
      <c r="O77" s="65"/>
      <c r="P77" s="65"/>
      <c r="Q77" s="63"/>
      <c r="R77" s="5"/>
      <c r="S77" s="5"/>
      <c r="T77" s="5"/>
      <c r="U77" s="5"/>
      <c r="V77" s="5"/>
      <c r="W77" s="5"/>
      <c r="X77" s="5"/>
      <c r="Y77" s="5"/>
    </row>
    <row r="78" ht="39.75" customHeight="1">
      <c r="A78" s="4"/>
      <c r="B78" s="48" t="s">
        <v>91</v>
      </c>
      <c r="C78" s="50">
        <f t="shared" ref="C78:D78" si="71">C70+C70*10%</f>
        <v>449279.7581</v>
      </c>
      <c r="D78" s="50">
        <f t="shared" si="71"/>
        <v>177877.1436</v>
      </c>
      <c r="E78" s="50">
        <f t="shared" si="69"/>
        <v>200000</v>
      </c>
      <c r="F78" s="50">
        <f t="shared" si="61"/>
        <v>210413.1315</v>
      </c>
      <c r="G78" s="50">
        <f t="shared" si="62"/>
        <v>24375</v>
      </c>
      <c r="H78" s="50">
        <f t="shared" si="63"/>
        <v>95000</v>
      </c>
      <c r="I78" s="50">
        <f t="shared" ref="I78:J78" si="72">I70+I70*10%</f>
        <v>45753.125</v>
      </c>
      <c r="J78" s="50">
        <f t="shared" si="72"/>
        <v>196189.4</v>
      </c>
      <c r="K78" s="50">
        <f t="shared" si="65"/>
        <v>75000</v>
      </c>
      <c r="L78" s="50">
        <f t="shared" si="66"/>
        <v>175000</v>
      </c>
      <c r="M78" s="51">
        <f t="shared" si="67"/>
        <v>1648887.558</v>
      </c>
      <c r="N78" s="58"/>
      <c r="O78" s="65"/>
      <c r="P78" s="65"/>
      <c r="Q78" s="63"/>
      <c r="R78" s="5"/>
      <c r="S78" s="5"/>
      <c r="T78" s="5"/>
      <c r="U78" s="5"/>
      <c r="V78" s="5"/>
      <c r="W78" s="5"/>
      <c r="X78" s="5"/>
      <c r="Y78" s="5"/>
    </row>
    <row r="79" ht="39.75" customHeight="1">
      <c r="A79" s="4"/>
      <c r="B79" s="52" t="s">
        <v>23</v>
      </c>
      <c r="C79" s="51">
        <f t="shared" ref="C79:M79" si="73">SUM(C75:C78)</f>
        <v>1797119.032</v>
      </c>
      <c r="D79" s="51">
        <f t="shared" si="73"/>
        <v>711508.5745</v>
      </c>
      <c r="E79" s="51">
        <f t="shared" si="73"/>
        <v>800000</v>
      </c>
      <c r="F79" s="51">
        <f t="shared" si="73"/>
        <v>841652.526</v>
      </c>
      <c r="G79" s="51">
        <f t="shared" si="73"/>
        <v>97500</v>
      </c>
      <c r="H79" s="51">
        <f t="shared" si="73"/>
        <v>380000</v>
      </c>
      <c r="I79" s="51">
        <f t="shared" si="73"/>
        <v>183012.5</v>
      </c>
      <c r="J79" s="51">
        <f t="shared" si="73"/>
        <v>784757.6</v>
      </c>
      <c r="K79" s="51">
        <f t="shared" si="73"/>
        <v>300000</v>
      </c>
      <c r="L79" s="51">
        <f t="shared" si="73"/>
        <v>700000</v>
      </c>
      <c r="M79" s="51">
        <f t="shared" si="73"/>
        <v>6595550.233</v>
      </c>
      <c r="N79" s="58"/>
      <c r="O79" s="65"/>
      <c r="P79" s="65"/>
      <c r="Q79" s="63"/>
      <c r="R79" s="5"/>
      <c r="S79" s="5"/>
      <c r="T79" s="5"/>
      <c r="U79" s="5"/>
      <c r="V79" s="5"/>
      <c r="W79" s="5"/>
      <c r="X79" s="5"/>
      <c r="Y79" s="5"/>
    </row>
    <row r="80" ht="3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9"/>
      <c r="O80" s="65"/>
      <c r="P80" s="65"/>
      <c r="Q80" s="63"/>
      <c r="R80" s="5"/>
      <c r="S80" s="5"/>
      <c r="T80" s="5"/>
      <c r="U80" s="5"/>
      <c r="V80" s="5"/>
      <c r="W80" s="5"/>
      <c r="X80" s="5"/>
      <c r="Y80" s="5"/>
    </row>
    <row r="81" ht="3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9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9.75" customHeight="1">
      <c r="A91" s="5"/>
      <c r="B91" s="5"/>
      <c r="C91" s="31"/>
      <c r="D91" s="3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9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9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9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9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9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9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9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9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9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9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9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9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9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9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9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9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9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9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9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9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9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9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9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9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9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9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9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9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9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9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9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9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9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9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9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9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9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9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9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9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9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9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9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9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9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9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9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9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9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9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9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9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9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9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9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9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9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9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9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9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9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9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9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9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9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9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9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9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9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9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9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9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9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9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9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9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9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9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9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9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9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9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9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9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9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9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9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9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9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9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9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9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9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9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9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9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9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9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9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9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9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9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9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9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9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9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9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9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9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9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9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9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9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9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9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9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9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9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9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9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9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9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9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9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9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9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9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9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9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9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9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9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9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9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9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9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9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9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9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9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9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9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9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9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9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9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9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9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9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9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9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9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9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9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9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9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9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9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9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9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9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9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9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9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9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9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9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9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9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9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9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9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9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9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9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9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9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9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9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9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9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9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9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9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9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9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9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9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9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9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9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9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9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9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9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9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9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9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9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9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9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9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9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9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9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9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9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9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9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9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9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9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9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9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9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9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9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9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9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9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9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9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9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9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9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9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9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9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9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9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9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9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9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9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9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9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9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9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9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9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9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9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9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9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9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9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9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9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9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9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9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9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9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9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9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9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9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9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9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9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9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9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9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9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9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9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9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9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9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9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9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9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9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9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9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9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9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9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9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9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9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9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9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9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9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9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9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9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9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9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9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9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9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9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9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9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9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9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9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9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9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9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9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9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9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9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9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9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9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9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9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9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9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9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9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9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9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9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9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9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9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9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9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9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9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9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9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9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9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9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9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9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9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9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9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9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9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9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9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9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9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9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9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9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9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9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9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9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9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9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9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9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9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9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9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9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9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9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9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9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9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9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9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9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9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9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9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9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9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9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9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9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9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9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9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9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9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9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9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9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9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9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9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9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9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9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9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9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9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9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9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9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9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9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9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9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9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9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9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9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9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9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9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9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9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9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9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9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9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9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9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9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9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9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9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9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9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9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9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9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9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9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9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9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9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9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9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9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9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9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9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9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9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9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9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9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9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9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9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9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9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9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9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9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9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9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9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9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9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9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9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9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9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9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9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9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9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9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9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9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9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9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9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9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9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9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9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9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9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9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9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9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9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9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9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9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9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9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9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9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9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9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9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9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9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9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9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9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9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9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9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9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9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9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9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9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9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9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9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9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9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9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9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9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9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9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9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9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9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9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9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9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9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9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9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9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9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9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9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9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9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9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9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9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9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9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9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9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9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9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9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9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9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9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9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9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9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9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9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9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9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9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9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9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9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9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9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9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9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9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9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9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9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9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9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9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9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9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9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9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9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9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9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9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9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9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9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9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9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9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9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9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9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9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9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9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9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9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9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9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9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9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9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9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9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9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9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9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9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9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9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9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9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9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9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9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9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9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9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9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9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9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9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9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9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9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9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9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9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9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9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9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9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9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9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9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9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9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9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9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9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9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9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9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9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9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9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9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9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9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9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9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9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9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9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9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9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9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9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9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9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9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9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9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9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9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9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9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9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9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9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9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9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9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9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9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9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9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9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9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9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9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9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9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9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9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9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9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9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9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9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9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9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9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9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9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9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9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9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9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9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9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9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9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9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9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9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9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9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9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9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9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9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9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9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9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9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9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9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9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9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9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9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9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9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9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9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9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9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9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9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9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9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9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9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9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9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9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9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9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9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9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9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9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9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9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9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9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9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9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9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9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9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9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9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9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9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9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9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9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9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9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9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9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9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9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9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9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9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9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9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9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9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9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9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9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9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9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9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9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9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9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9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9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9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9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9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9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9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9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9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9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9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9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9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9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9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9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9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9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9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9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9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9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9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9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9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9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9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9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9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9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9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9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9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9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9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9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9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9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9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9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9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9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9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9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9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9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9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9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9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9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9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9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9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9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9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9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9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9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9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9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9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9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9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9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9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9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9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9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9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9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9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9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9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9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9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9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9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9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9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9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9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9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9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9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9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9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9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9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9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9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9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9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9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9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9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9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9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9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9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9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9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9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9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9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9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9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9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9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9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9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9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9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9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9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9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9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9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9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9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9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9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9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9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9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9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9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9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9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9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9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9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9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9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9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9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9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9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9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9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9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9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9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9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9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9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2">
    <mergeCell ref="B1:G4"/>
    <mergeCell ref="B38:D40"/>
  </mergeCells>
  <conditionalFormatting sqref="A1:G1">
    <cfRule type="colorScale" priority="1">
      <colorScale>
        <cfvo type="percent" val="70"/>
        <cfvo type="formula" val="25"/>
        <cfvo type="formula" val="5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25"/>
  </cols>
  <sheetData>
    <row r="1" ht="34.5" customHeight="1">
      <c r="A1" s="1"/>
      <c r="B1" s="67" t="s">
        <v>96</v>
      </c>
      <c r="C1" s="3"/>
      <c r="D1" s="3"/>
      <c r="E1" s="3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4.5" customHeight="1">
      <c r="A2" s="1"/>
      <c r="B2" s="6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1"/>
      <c r="B3" s="6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4.5" customHeight="1">
      <c r="A4" s="1"/>
      <c r="B4" s="6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4.5" customHeight="1">
      <c r="A5" s="4"/>
      <c r="B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4.5" customHeight="1">
      <c r="A6" s="4"/>
      <c r="B6" s="9" t="s">
        <v>97</v>
      </c>
      <c r="C6" s="4"/>
      <c r="D6" s="4"/>
      <c r="E6" s="4"/>
      <c r="F6" s="9" t="s">
        <v>98</v>
      </c>
      <c r="G6" s="4"/>
      <c r="H6" s="4"/>
      <c r="I6" s="4"/>
      <c r="J6" s="9" t="s">
        <v>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4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4.5" customHeight="1">
      <c r="A8" s="4"/>
      <c r="B8" s="68" t="s">
        <v>100</v>
      </c>
      <c r="C8" s="69" t="s">
        <v>101</v>
      </c>
      <c r="D8" s="69" t="s">
        <v>102</v>
      </c>
      <c r="E8" s="4"/>
      <c r="F8" s="70" t="s">
        <v>103</v>
      </c>
      <c r="G8" s="71" t="s">
        <v>11</v>
      </c>
      <c r="H8" s="4"/>
      <c r="I8" s="4"/>
      <c r="J8" s="72" t="s">
        <v>104</v>
      </c>
      <c r="K8" s="7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4.5" customHeight="1">
      <c r="A9" s="4"/>
      <c r="B9" s="74" t="s">
        <v>105</v>
      </c>
      <c r="C9" s="75">
        <v>2500.0</v>
      </c>
      <c r="D9" s="76">
        <f t="shared" ref="D9:D16" si="1">C9*70</f>
        <v>175000</v>
      </c>
      <c r="E9" s="4"/>
      <c r="F9" s="77" t="s">
        <v>106</v>
      </c>
      <c r="G9" s="76">
        <f>20*1000</f>
        <v>20000</v>
      </c>
      <c r="H9" s="4"/>
      <c r="I9" s="4"/>
      <c r="J9" s="77" t="s">
        <v>107</v>
      </c>
      <c r="K9" s="76">
        <f t="shared" ref="K9:K11" si="2">(30000*40/100)*4</f>
        <v>48000</v>
      </c>
      <c r="L9" s="78" t="s">
        <v>108</v>
      </c>
      <c r="M9" s="78"/>
      <c r="N9" s="7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4.5" customHeight="1">
      <c r="A10" s="4"/>
      <c r="B10" s="74" t="s">
        <v>109</v>
      </c>
      <c r="C10" s="75">
        <v>2500.0</v>
      </c>
      <c r="D10" s="76">
        <f t="shared" si="1"/>
        <v>175000</v>
      </c>
      <c r="E10" s="4"/>
      <c r="F10" s="77" t="s">
        <v>20</v>
      </c>
      <c r="G10" s="76">
        <f>35*850</f>
        <v>29750</v>
      </c>
      <c r="H10" s="4"/>
      <c r="I10" s="4"/>
      <c r="J10" s="77" t="s">
        <v>105</v>
      </c>
      <c r="K10" s="76">
        <f t="shared" si="2"/>
        <v>48000</v>
      </c>
      <c r="L10" s="78"/>
      <c r="M10" s="78"/>
      <c r="N10" s="7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4.5" customHeight="1">
      <c r="A11" s="4"/>
      <c r="B11" s="74" t="s">
        <v>110</v>
      </c>
      <c r="C11" s="75">
        <v>2500.0</v>
      </c>
      <c r="D11" s="76">
        <f t="shared" si="1"/>
        <v>175000</v>
      </c>
      <c r="E11" s="4"/>
      <c r="F11" s="77" t="s">
        <v>24</v>
      </c>
      <c r="G11" s="76">
        <f>1000*15</f>
        <v>15000</v>
      </c>
      <c r="H11" s="4"/>
      <c r="I11" s="4"/>
      <c r="J11" s="77" t="s">
        <v>109</v>
      </c>
      <c r="K11" s="76">
        <f t="shared" si="2"/>
        <v>48000</v>
      </c>
      <c r="L11" s="78"/>
      <c r="M11" s="78"/>
      <c r="N11" s="7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4.5" customHeight="1">
      <c r="A12" s="4"/>
      <c r="B12" s="74" t="s">
        <v>111</v>
      </c>
      <c r="C12" s="75">
        <v>2500.0</v>
      </c>
      <c r="D12" s="76">
        <f t="shared" si="1"/>
        <v>175000</v>
      </c>
      <c r="E12" s="4"/>
      <c r="F12" s="79" t="s">
        <v>23</v>
      </c>
      <c r="G12" s="80">
        <f>SUM(G9:G11)</f>
        <v>64750</v>
      </c>
      <c r="H12" s="4"/>
      <c r="I12" s="4"/>
      <c r="J12" s="77" t="s">
        <v>112</v>
      </c>
      <c r="K12" s="76">
        <f t="shared" ref="K12:K14" si="3">(40000*40/100)*4</f>
        <v>64000</v>
      </c>
      <c r="L12" s="78" t="s">
        <v>113</v>
      </c>
      <c r="M12" s="78"/>
      <c r="N12" s="7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4.5" customHeight="1">
      <c r="A13" s="4"/>
      <c r="B13" s="74" t="s">
        <v>114</v>
      </c>
      <c r="C13" s="75">
        <v>2500.0</v>
      </c>
      <c r="D13" s="76">
        <f t="shared" si="1"/>
        <v>175000</v>
      </c>
      <c r="E13" s="4"/>
      <c r="F13" s="4"/>
      <c r="G13" s="4"/>
      <c r="H13" s="4"/>
      <c r="I13" s="4"/>
      <c r="J13" s="77" t="s">
        <v>110</v>
      </c>
      <c r="K13" s="76">
        <f t="shared" si="3"/>
        <v>64000</v>
      </c>
      <c r="L13" s="78"/>
      <c r="M13" s="78"/>
      <c r="N13" s="7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4.5" customHeight="1">
      <c r="A14" s="4"/>
      <c r="B14" s="74" t="s">
        <v>115</v>
      </c>
      <c r="C14" s="75">
        <v>2500.0</v>
      </c>
      <c r="D14" s="76">
        <f t="shared" si="1"/>
        <v>175000</v>
      </c>
      <c r="E14" s="4"/>
      <c r="F14" s="9" t="s">
        <v>116</v>
      </c>
      <c r="G14" s="4"/>
      <c r="H14" s="4"/>
      <c r="I14" s="4"/>
      <c r="J14" s="77" t="s">
        <v>111</v>
      </c>
      <c r="K14" s="76">
        <f t="shared" si="3"/>
        <v>64000</v>
      </c>
      <c r="L14" s="78"/>
      <c r="M14" s="78"/>
      <c r="N14" s="7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4.5" customHeight="1">
      <c r="A15" s="4"/>
      <c r="B15" s="74" t="s">
        <v>117</v>
      </c>
      <c r="C15" s="75">
        <v>2500.0</v>
      </c>
      <c r="D15" s="76">
        <f t="shared" si="1"/>
        <v>175000</v>
      </c>
      <c r="E15" s="4"/>
      <c r="F15" s="4"/>
      <c r="G15" s="4"/>
      <c r="H15" s="4"/>
      <c r="I15" s="4"/>
      <c r="J15" s="77" t="s">
        <v>114</v>
      </c>
      <c r="K15" s="76">
        <f t="shared" ref="K15:K18" si="4">(50000*40/100)*4</f>
        <v>80000</v>
      </c>
      <c r="L15" s="78" t="s">
        <v>118</v>
      </c>
      <c r="M15" s="78"/>
      <c r="N15" s="7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4.5" customHeight="1">
      <c r="A16" s="4"/>
      <c r="B16" s="74" t="s">
        <v>119</v>
      </c>
      <c r="C16" s="75">
        <v>2500.0</v>
      </c>
      <c r="D16" s="76">
        <f t="shared" si="1"/>
        <v>175000</v>
      </c>
      <c r="E16" s="4"/>
      <c r="F16" s="71" t="s">
        <v>120</v>
      </c>
      <c r="G16" s="79">
        <f>35*10^6</f>
        <v>35000000</v>
      </c>
      <c r="H16" s="78" t="s">
        <v>121</v>
      </c>
      <c r="I16" s="4"/>
      <c r="J16" s="77" t="s">
        <v>115</v>
      </c>
      <c r="K16" s="76">
        <f t="shared" si="4"/>
        <v>80000</v>
      </c>
      <c r="L16" s="78"/>
      <c r="M16" s="78"/>
      <c r="N16" s="7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4.5" customHeight="1">
      <c r="A17" s="4"/>
      <c r="B17" s="81" t="s">
        <v>27</v>
      </c>
      <c r="C17" s="82">
        <f t="shared" ref="C17:D17" si="5">SUM(C9:C16)</f>
        <v>20000</v>
      </c>
      <c r="D17" s="80">
        <f t="shared" si="5"/>
        <v>1400000</v>
      </c>
      <c r="E17" s="4"/>
      <c r="F17" s="68" t="s">
        <v>122</v>
      </c>
      <c r="G17" s="80">
        <f>0.05</f>
        <v>0.05</v>
      </c>
      <c r="H17" s="78"/>
      <c r="I17" s="4"/>
      <c r="J17" s="77" t="s">
        <v>117</v>
      </c>
      <c r="K17" s="76">
        <f t="shared" si="4"/>
        <v>80000</v>
      </c>
      <c r="L17" s="78"/>
      <c r="M17" s="78"/>
      <c r="N17" s="7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4.5" customHeight="1">
      <c r="A18" s="4"/>
      <c r="B18" s="83" t="s">
        <v>26</v>
      </c>
      <c r="C18" s="79">
        <f t="shared" ref="C18:D18" si="6">C17/4</f>
        <v>5000</v>
      </c>
      <c r="D18" s="84">
        <f t="shared" si="6"/>
        <v>350000</v>
      </c>
      <c r="E18" s="4"/>
      <c r="F18" s="68" t="s">
        <v>123</v>
      </c>
      <c r="G18" s="80">
        <f>0.05*35000000</f>
        <v>1750000</v>
      </c>
      <c r="H18" s="78" t="s">
        <v>124</v>
      </c>
      <c r="I18" s="4"/>
      <c r="J18" s="77" t="s">
        <v>119</v>
      </c>
      <c r="K18" s="76">
        <f t="shared" si="4"/>
        <v>80000</v>
      </c>
      <c r="L18" s="78"/>
      <c r="M18" s="78"/>
      <c r="N18" s="7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4.5" customHeight="1">
      <c r="A19" s="4"/>
      <c r="B19" s="4"/>
      <c r="C19" s="85"/>
      <c r="D19" s="85"/>
      <c r="E19" s="4"/>
      <c r="F19" s="68" t="s">
        <v>26</v>
      </c>
      <c r="G19" s="80">
        <f>G18/4</f>
        <v>437500</v>
      </c>
      <c r="H19" s="4"/>
      <c r="I19" s="4"/>
      <c r="J19" s="79" t="s">
        <v>27</v>
      </c>
      <c r="K19" s="84">
        <f>SUM(K9:K18)</f>
        <v>656000</v>
      </c>
      <c r="L19" s="78"/>
      <c r="M19" s="78"/>
      <c r="N19" s="7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4.5" customHeight="1">
      <c r="A20" s="4"/>
      <c r="B20" s="4"/>
      <c r="C20" s="4"/>
      <c r="D20" s="4"/>
      <c r="E20" s="4"/>
      <c r="F20" s="4"/>
      <c r="G20" s="4"/>
      <c r="H20" s="4"/>
      <c r="I20" s="4"/>
      <c r="J20" s="79" t="s">
        <v>26</v>
      </c>
      <c r="K20" s="84">
        <f>K19/4</f>
        <v>164000</v>
      </c>
      <c r="L20" s="78"/>
      <c r="M20" s="78"/>
      <c r="N20" s="7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4.5" customHeight="1">
      <c r="A21" s="4"/>
      <c r="B21" s="86" t="s">
        <v>78</v>
      </c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4.5" customHeight="1">
      <c r="A22" s="4"/>
      <c r="B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4.5" customHeight="1">
      <c r="A23" s="4"/>
      <c r="B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4.5" customHeight="1">
      <c r="A24" s="4"/>
      <c r="B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4.5" customHeight="1">
      <c r="A25" s="4"/>
      <c r="B25" s="83" t="s">
        <v>79</v>
      </c>
      <c r="C25" s="25"/>
      <c r="D25" s="25"/>
      <c r="E25" s="25"/>
      <c r="F25" s="25"/>
      <c r="G25" s="25"/>
      <c r="H25" s="4"/>
      <c r="I25" s="83" t="s">
        <v>92</v>
      </c>
      <c r="J25" s="25"/>
      <c r="K25" s="25"/>
      <c r="L25" s="25"/>
      <c r="M25" s="25"/>
      <c r="N25" s="2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4.5" customHeight="1">
      <c r="A26" s="4"/>
      <c r="B26" s="71" t="s">
        <v>81</v>
      </c>
      <c r="C26" s="69" t="s">
        <v>102</v>
      </c>
      <c r="D26" s="69" t="s">
        <v>125</v>
      </c>
      <c r="E26" s="69" t="s">
        <v>104</v>
      </c>
      <c r="F26" s="69" t="s">
        <v>11</v>
      </c>
      <c r="G26" s="69" t="s">
        <v>30</v>
      </c>
      <c r="H26" s="4"/>
      <c r="I26" s="71" t="s">
        <v>81</v>
      </c>
      <c r="J26" s="69" t="s">
        <v>102</v>
      </c>
      <c r="K26" s="69" t="s">
        <v>125</v>
      </c>
      <c r="L26" s="69" t="s">
        <v>104</v>
      </c>
      <c r="M26" s="69" t="s">
        <v>11</v>
      </c>
      <c r="N26" s="69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4.5" customHeight="1">
      <c r="A27" s="4"/>
      <c r="B27" s="71" t="s">
        <v>88</v>
      </c>
      <c r="C27" s="76">
        <f>D18</f>
        <v>350000</v>
      </c>
      <c r="D27" s="76">
        <f>G19</f>
        <v>437500</v>
      </c>
      <c r="E27" s="76">
        <f>K20</f>
        <v>164000</v>
      </c>
      <c r="F27" s="76">
        <f>G12/4</f>
        <v>16187.5</v>
      </c>
      <c r="G27" s="80">
        <f t="shared" ref="G27:G30" si="7">SUM(C27:F27)</f>
        <v>967687.5</v>
      </c>
      <c r="H27" s="4"/>
      <c r="I27" s="71" t="s">
        <v>88</v>
      </c>
      <c r="J27" s="76">
        <f t="shared" ref="J27:J30" si="8">(5000*90*8)/4</f>
        <v>900000</v>
      </c>
      <c r="K27" s="76">
        <f t="shared" ref="K27:K28" si="9">(0.05*40000000)/4</f>
        <v>500000</v>
      </c>
      <c r="L27" s="76">
        <f>(E31+E31*35/100)/4</f>
        <v>221400</v>
      </c>
      <c r="M27" s="76">
        <f t="shared" ref="M27:M30" si="10">(20*1800+35*1800+15*2000)/4</f>
        <v>32250</v>
      </c>
      <c r="N27" s="76">
        <f t="shared" ref="N27:N30" si="11">SUM(J27:M27)</f>
        <v>1653650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4.5" customHeight="1">
      <c r="A28" s="4"/>
      <c r="B28" s="71" t="s">
        <v>89</v>
      </c>
      <c r="C28" s="76">
        <f t="shared" ref="C28:C30" si="12">350000</f>
        <v>350000</v>
      </c>
      <c r="D28" s="76">
        <f t="shared" ref="D28:D30" si="13">437500</f>
        <v>437500</v>
      </c>
      <c r="E28" s="76">
        <f t="shared" ref="E28:E30" si="14">E27</f>
        <v>164000</v>
      </c>
      <c r="F28" s="76">
        <f>'Income Sheet(Sources Of Revenue'!G12/4</f>
        <v>16187.5</v>
      </c>
      <c r="G28" s="80">
        <f t="shared" si="7"/>
        <v>967687.5</v>
      </c>
      <c r="H28" s="4"/>
      <c r="I28" s="71" t="s">
        <v>89</v>
      </c>
      <c r="J28" s="76">
        <f t="shared" si="8"/>
        <v>900000</v>
      </c>
      <c r="K28" s="76">
        <f t="shared" si="9"/>
        <v>500000</v>
      </c>
      <c r="L28" s="76">
        <f t="shared" ref="L28:L30" si="15">L27</f>
        <v>221400</v>
      </c>
      <c r="M28" s="76">
        <f t="shared" si="10"/>
        <v>32250</v>
      </c>
      <c r="N28" s="76">
        <f t="shared" si="11"/>
        <v>1653650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4.5" customHeight="1">
      <c r="A29" s="4"/>
      <c r="B29" s="71" t="s">
        <v>90</v>
      </c>
      <c r="C29" s="76">
        <f t="shared" si="12"/>
        <v>350000</v>
      </c>
      <c r="D29" s="76">
        <f t="shared" si="13"/>
        <v>437500</v>
      </c>
      <c r="E29" s="76">
        <f t="shared" si="14"/>
        <v>164000</v>
      </c>
      <c r="F29" s="76">
        <f>'Income Sheet(Sources Of Revenue'!G12/4</f>
        <v>16187.5</v>
      </c>
      <c r="G29" s="80">
        <f t="shared" si="7"/>
        <v>967687.5</v>
      </c>
      <c r="H29" s="4"/>
      <c r="I29" s="71" t="s">
        <v>90</v>
      </c>
      <c r="J29" s="76">
        <f t="shared" si="8"/>
        <v>900000</v>
      </c>
      <c r="K29" s="76">
        <f t="shared" ref="K29:K30" si="16">500000</f>
        <v>500000</v>
      </c>
      <c r="L29" s="76">
        <f t="shared" si="15"/>
        <v>221400</v>
      </c>
      <c r="M29" s="76">
        <f t="shared" si="10"/>
        <v>32250</v>
      </c>
      <c r="N29" s="76">
        <f t="shared" si="11"/>
        <v>1653650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4.5" customHeight="1">
      <c r="A30" s="4"/>
      <c r="B30" s="71" t="s">
        <v>91</v>
      </c>
      <c r="C30" s="76">
        <f t="shared" si="12"/>
        <v>350000</v>
      </c>
      <c r="D30" s="76">
        <f t="shared" si="13"/>
        <v>437500</v>
      </c>
      <c r="E30" s="76">
        <f t="shared" si="14"/>
        <v>164000</v>
      </c>
      <c r="F30" s="76">
        <f>'Income Sheet(Sources Of Revenue'!G12/4</f>
        <v>16187.5</v>
      </c>
      <c r="G30" s="80">
        <f t="shared" si="7"/>
        <v>967687.5</v>
      </c>
      <c r="H30" s="4"/>
      <c r="I30" s="71" t="s">
        <v>91</v>
      </c>
      <c r="J30" s="76">
        <f t="shared" si="8"/>
        <v>900000</v>
      </c>
      <c r="K30" s="76">
        <f t="shared" si="16"/>
        <v>500000</v>
      </c>
      <c r="L30" s="76">
        <f t="shared" si="15"/>
        <v>221400</v>
      </c>
      <c r="M30" s="76">
        <f t="shared" si="10"/>
        <v>32250</v>
      </c>
      <c r="N30" s="76">
        <f t="shared" si="11"/>
        <v>1653650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4.5" customHeight="1">
      <c r="A31" s="4"/>
      <c r="B31" s="68" t="s">
        <v>23</v>
      </c>
      <c r="C31" s="80">
        <f t="shared" ref="C31:G31" si="17">SUM(C27:C30)</f>
        <v>1400000</v>
      </c>
      <c r="D31" s="80">
        <f t="shared" si="17"/>
        <v>1750000</v>
      </c>
      <c r="E31" s="80">
        <f t="shared" si="17"/>
        <v>656000</v>
      </c>
      <c r="F31" s="80">
        <f t="shared" si="17"/>
        <v>64750</v>
      </c>
      <c r="G31" s="80">
        <f t="shared" si="17"/>
        <v>3870750</v>
      </c>
      <c r="H31" s="4"/>
      <c r="I31" s="68" t="s">
        <v>23</v>
      </c>
      <c r="J31" s="80">
        <f t="shared" ref="J31:N31" si="18">SUM(J27:J30)</f>
        <v>3600000</v>
      </c>
      <c r="K31" s="80">
        <f t="shared" si="18"/>
        <v>2000000</v>
      </c>
      <c r="L31" s="80">
        <f t="shared" si="18"/>
        <v>885600</v>
      </c>
      <c r="M31" s="80">
        <f t="shared" si="18"/>
        <v>129000</v>
      </c>
      <c r="N31" s="80">
        <f t="shared" si="18"/>
        <v>6614600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4.5" customHeight="1">
      <c r="A32" s="4"/>
      <c r="B32" s="4"/>
      <c r="C32" s="85"/>
      <c r="D32" s="85"/>
      <c r="E32" s="85"/>
      <c r="F32" s="85"/>
      <c r="G32" s="85"/>
      <c r="H32" s="4"/>
      <c r="I32" s="4"/>
      <c r="J32" s="85"/>
      <c r="K32" s="85"/>
      <c r="L32" s="85"/>
      <c r="M32" s="85"/>
      <c r="N32" s="8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4.5" customHeight="1">
      <c r="A33" s="4"/>
      <c r="B33" s="83" t="s">
        <v>93</v>
      </c>
      <c r="C33" s="87"/>
      <c r="D33" s="87"/>
      <c r="E33" s="87"/>
      <c r="F33" s="87"/>
      <c r="G33" s="87"/>
      <c r="H33" s="4"/>
      <c r="I33" s="83" t="s">
        <v>94</v>
      </c>
      <c r="J33" s="88"/>
      <c r="K33" s="87"/>
      <c r="L33" s="87"/>
      <c r="M33" s="87"/>
      <c r="N33" s="8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4.5" customHeight="1">
      <c r="A34" s="4"/>
      <c r="B34" s="71" t="s">
        <v>81</v>
      </c>
      <c r="C34" s="69" t="s">
        <v>102</v>
      </c>
      <c r="D34" s="69" t="s">
        <v>125</v>
      </c>
      <c r="E34" s="69" t="s">
        <v>104</v>
      </c>
      <c r="F34" s="69" t="s">
        <v>11</v>
      </c>
      <c r="G34" s="69" t="s">
        <v>30</v>
      </c>
      <c r="H34" s="4"/>
      <c r="I34" s="71" t="s">
        <v>81</v>
      </c>
      <c r="J34" s="69" t="s">
        <v>102</v>
      </c>
      <c r="K34" s="69" t="s">
        <v>125</v>
      </c>
      <c r="L34" s="69" t="s">
        <v>104</v>
      </c>
      <c r="M34" s="69" t="s">
        <v>11</v>
      </c>
      <c r="N34" s="69" t="s">
        <v>30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4.5" customHeight="1">
      <c r="A35" s="4"/>
      <c r="B35" s="71" t="s">
        <v>88</v>
      </c>
      <c r="C35" s="76">
        <f t="shared" ref="C35:C38" si="19">(6500*110*8)/4</f>
        <v>1430000</v>
      </c>
      <c r="D35" s="76">
        <f t="shared" ref="D35:D38" si="20">(0.05*50000000)/4</f>
        <v>625000</v>
      </c>
      <c r="E35" s="76">
        <f>(L31+L31*35/100)/4</f>
        <v>298890</v>
      </c>
      <c r="F35" s="76">
        <f t="shared" ref="F35:F38" si="21">(20*2500+35*2500+15*2000)/4</f>
        <v>41875</v>
      </c>
      <c r="G35" s="80">
        <f t="shared" ref="G35:G38" si="22">SUM(C35:F35)</f>
        <v>2395765</v>
      </c>
      <c r="H35" s="4"/>
      <c r="I35" s="71" t="s">
        <v>88</v>
      </c>
      <c r="J35" s="76">
        <f t="shared" ref="J35:J38" si="23">(8500*130*8)/4</f>
        <v>2210000</v>
      </c>
      <c r="K35" s="76">
        <f t="shared" ref="K35:K38" si="24">(0.05*60000000)/4</f>
        <v>750000</v>
      </c>
      <c r="L35" s="76">
        <f>(E39+E39*35/100)/4</f>
        <v>403501.5</v>
      </c>
      <c r="M35" s="76">
        <f t="shared" ref="M35:M38" si="25">(20*3500+35*3500+15*1500)/4</f>
        <v>53750</v>
      </c>
      <c r="N35" s="80">
        <f t="shared" ref="N35:N38" si="26">SUM(J35:M35)</f>
        <v>3417251.5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4.5" customHeight="1">
      <c r="A36" s="4"/>
      <c r="B36" s="71" t="s">
        <v>89</v>
      </c>
      <c r="C36" s="76">
        <f t="shared" si="19"/>
        <v>1430000</v>
      </c>
      <c r="D36" s="76">
        <f t="shared" si="20"/>
        <v>625000</v>
      </c>
      <c r="E36" s="76">
        <f t="shared" ref="E36:E38" si="27">E35</f>
        <v>298890</v>
      </c>
      <c r="F36" s="76">
        <f t="shared" si="21"/>
        <v>41875</v>
      </c>
      <c r="G36" s="80">
        <f t="shared" si="22"/>
        <v>2395765</v>
      </c>
      <c r="H36" s="4"/>
      <c r="I36" s="71" t="s">
        <v>89</v>
      </c>
      <c r="J36" s="76">
        <f t="shared" si="23"/>
        <v>2210000</v>
      </c>
      <c r="K36" s="76">
        <f t="shared" si="24"/>
        <v>750000</v>
      </c>
      <c r="L36" s="76">
        <f t="shared" ref="L36:L38" si="28">L35</f>
        <v>403501.5</v>
      </c>
      <c r="M36" s="76">
        <f t="shared" si="25"/>
        <v>53750</v>
      </c>
      <c r="N36" s="80">
        <f t="shared" si="26"/>
        <v>3417251.5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4.5" customHeight="1">
      <c r="A37" s="4"/>
      <c r="B37" s="71" t="s">
        <v>90</v>
      </c>
      <c r="C37" s="76">
        <f t="shared" si="19"/>
        <v>1430000</v>
      </c>
      <c r="D37" s="76">
        <f t="shared" si="20"/>
        <v>625000</v>
      </c>
      <c r="E37" s="76">
        <f t="shared" si="27"/>
        <v>298890</v>
      </c>
      <c r="F37" s="76">
        <f t="shared" si="21"/>
        <v>41875</v>
      </c>
      <c r="G37" s="80">
        <f t="shared" si="22"/>
        <v>2395765</v>
      </c>
      <c r="H37" s="4"/>
      <c r="I37" s="71" t="s">
        <v>90</v>
      </c>
      <c r="J37" s="76">
        <f t="shared" si="23"/>
        <v>2210000</v>
      </c>
      <c r="K37" s="76">
        <f t="shared" si="24"/>
        <v>750000</v>
      </c>
      <c r="L37" s="76">
        <f t="shared" si="28"/>
        <v>403501.5</v>
      </c>
      <c r="M37" s="76">
        <f t="shared" si="25"/>
        <v>53750</v>
      </c>
      <c r="N37" s="80">
        <f t="shared" si="26"/>
        <v>3417251.5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4.5" customHeight="1">
      <c r="A38" s="4"/>
      <c r="B38" s="71" t="s">
        <v>91</v>
      </c>
      <c r="C38" s="76">
        <f t="shared" si="19"/>
        <v>1430000</v>
      </c>
      <c r="D38" s="76">
        <f t="shared" si="20"/>
        <v>625000</v>
      </c>
      <c r="E38" s="76">
        <f t="shared" si="27"/>
        <v>298890</v>
      </c>
      <c r="F38" s="76">
        <f t="shared" si="21"/>
        <v>41875</v>
      </c>
      <c r="G38" s="80">
        <f t="shared" si="22"/>
        <v>2395765</v>
      </c>
      <c r="H38" s="4"/>
      <c r="I38" s="71" t="s">
        <v>91</v>
      </c>
      <c r="J38" s="76">
        <f t="shared" si="23"/>
        <v>2210000</v>
      </c>
      <c r="K38" s="76">
        <f t="shared" si="24"/>
        <v>750000</v>
      </c>
      <c r="L38" s="76">
        <f t="shared" si="28"/>
        <v>403501.5</v>
      </c>
      <c r="M38" s="76">
        <f t="shared" si="25"/>
        <v>53750</v>
      </c>
      <c r="N38" s="80">
        <f t="shared" si="26"/>
        <v>3417251.5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4.5" customHeight="1">
      <c r="A39" s="4"/>
      <c r="B39" s="68" t="s">
        <v>23</v>
      </c>
      <c r="C39" s="80">
        <f t="shared" ref="C39:G39" si="29">SUM(C35:C38)</f>
        <v>5720000</v>
      </c>
      <c r="D39" s="80">
        <f t="shared" si="29"/>
        <v>2500000</v>
      </c>
      <c r="E39" s="80">
        <f t="shared" si="29"/>
        <v>1195560</v>
      </c>
      <c r="F39" s="80">
        <f t="shared" si="29"/>
        <v>167500</v>
      </c>
      <c r="G39" s="80">
        <f t="shared" si="29"/>
        <v>9583060</v>
      </c>
      <c r="H39" s="4"/>
      <c r="I39" s="68" t="s">
        <v>23</v>
      </c>
      <c r="J39" s="80">
        <f t="shared" ref="J39:N39" si="30">SUM(J35:J38)</f>
        <v>8840000</v>
      </c>
      <c r="K39" s="80">
        <f t="shared" si="30"/>
        <v>3000000</v>
      </c>
      <c r="L39" s="80">
        <f t="shared" si="30"/>
        <v>1614006</v>
      </c>
      <c r="M39" s="80">
        <f t="shared" si="30"/>
        <v>215000</v>
      </c>
      <c r="N39" s="80">
        <f t="shared" si="30"/>
        <v>13669006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4.5" customHeight="1">
      <c r="A40" s="4"/>
      <c r="B40" s="4"/>
      <c r="C40" s="85"/>
      <c r="D40" s="85"/>
      <c r="E40" s="85"/>
      <c r="F40" s="85"/>
      <c r="G40" s="8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4.5" customHeight="1">
      <c r="A41" s="4"/>
      <c r="B41" s="83" t="s">
        <v>95</v>
      </c>
      <c r="C41" s="85"/>
      <c r="D41" s="85"/>
      <c r="E41" s="85"/>
      <c r="F41" s="85"/>
      <c r="G41" s="85"/>
      <c r="H41" s="4"/>
      <c r="I41" s="4"/>
      <c r="J41" s="4"/>
      <c r="K41" s="89" t="s">
        <v>126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4.5" customHeight="1">
      <c r="A42" s="4"/>
      <c r="B42" s="71" t="s">
        <v>81</v>
      </c>
      <c r="C42" s="69" t="s">
        <v>102</v>
      </c>
      <c r="D42" s="69" t="s">
        <v>125</v>
      </c>
      <c r="E42" s="69" t="s">
        <v>104</v>
      </c>
      <c r="F42" s="69" t="s">
        <v>11</v>
      </c>
      <c r="G42" s="69" t="s">
        <v>30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4.5" customHeight="1">
      <c r="A43" s="4"/>
      <c r="B43" s="71" t="s">
        <v>88</v>
      </c>
      <c r="C43" s="76">
        <f t="shared" ref="C43:C46" si="31">(10000*150*8)/4</f>
        <v>3000000</v>
      </c>
      <c r="D43" s="76">
        <f t="shared" ref="D43:D46" si="32">(0.05*65000000)/4</f>
        <v>812500</v>
      </c>
      <c r="E43" s="76">
        <f>('Income Sheet(Sources Of Revenue'!L39+'Income Sheet(Sources Of Revenue'!L39*35/100)/4</f>
        <v>544727.025</v>
      </c>
      <c r="F43" s="76">
        <f t="shared" ref="F43:F46" si="33">(20*4000+35*4000+15*1300)/4</f>
        <v>59875</v>
      </c>
      <c r="G43" s="80">
        <f t="shared" ref="G43:G46" si="34">SUM(C43:F43)</f>
        <v>4417102.025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4.5" customHeight="1">
      <c r="A44" s="4"/>
      <c r="B44" s="71" t="s">
        <v>89</v>
      </c>
      <c r="C44" s="76">
        <f t="shared" si="31"/>
        <v>3000000</v>
      </c>
      <c r="D44" s="76">
        <f t="shared" si="32"/>
        <v>812500</v>
      </c>
      <c r="E44" s="76">
        <f t="shared" ref="E44:E46" si="35">E43</f>
        <v>544727.025</v>
      </c>
      <c r="F44" s="76">
        <f t="shared" si="33"/>
        <v>59875</v>
      </c>
      <c r="G44" s="80">
        <f t="shared" si="34"/>
        <v>4417102.025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4.5" customHeight="1">
      <c r="A45" s="4"/>
      <c r="B45" s="71" t="s">
        <v>90</v>
      </c>
      <c r="C45" s="76">
        <f t="shared" si="31"/>
        <v>3000000</v>
      </c>
      <c r="D45" s="76">
        <f t="shared" si="32"/>
        <v>812500</v>
      </c>
      <c r="E45" s="76">
        <f t="shared" si="35"/>
        <v>544727.025</v>
      </c>
      <c r="F45" s="76">
        <f t="shared" si="33"/>
        <v>59875</v>
      </c>
      <c r="G45" s="80">
        <f t="shared" si="34"/>
        <v>4417102.025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4.5" customHeight="1">
      <c r="A46" s="4"/>
      <c r="B46" s="71" t="s">
        <v>91</v>
      </c>
      <c r="C46" s="76">
        <f t="shared" si="31"/>
        <v>3000000</v>
      </c>
      <c r="D46" s="76">
        <f t="shared" si="32"/>
        <v>812500</v>
      </c>
      <c r="E46" s="76">
        <f t="shared" si="35"/>
        <v>544727.025</v>
      </c>
      <c r="F46" s="76">
        <f t="shared" si="33"/>
        <v>59875</v>
      </c>
      <c r="G46" s="80">
        <f t="shared" si="34"/>
        <v>4417102.025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4.5" customHeight="1">
      <c r="A47" s="4"/>
      <c r="B47" s="68" t="s">
        <v>23</v>
      </c>
      <c r="C47" s="80">
        <f t="shared" ref="C47:G47" si="36">SUM(C43:C46)</f>
        <v>12000000</v>
      </c>
      <c r="D47" s="80">
        <f t="shared" si="36"/>
        <v>3250000</v>
      </c>
      <c r="E47" s="80">
        <f t="shared" si="36"/>
        <v>2178908.1</v>
      </c>
      <c r="F47" s="80">
        <f t="shared" si="36"/>
        <v>239500</v>
      </c>
      <c r="G47" s="80">
        <f t="shared" si="36"/>
        <v>17668408.1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4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4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4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4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4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4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4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4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4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4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4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4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4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4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4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4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4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4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4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4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4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4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4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4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4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4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4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4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4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4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4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4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4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4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4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4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4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4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4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4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4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4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4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4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4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4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4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4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4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4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4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4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4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4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4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4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4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4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4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4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4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4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4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4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4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4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4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4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4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4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4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4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4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4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4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4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4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4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4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4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4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4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4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4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4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4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4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4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4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4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4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4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4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4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4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4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4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4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4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4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4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4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4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4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4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4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4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4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4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4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4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4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4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4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4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4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4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4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4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4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4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4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4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4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4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4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4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4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4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4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4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4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4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4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4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4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4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4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4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4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4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4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4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4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4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4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4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4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4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4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4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4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4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4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4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4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4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4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4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4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4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4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4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4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4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4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4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4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4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4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4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4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4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4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4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4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4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4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4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4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4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4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4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4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4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4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4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4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4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4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4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4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4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4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4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4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4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4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4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4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4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4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4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4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4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4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4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4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4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4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4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4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4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4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4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4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4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4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4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4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4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4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4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4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4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4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4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4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4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4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4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4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4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4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4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4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4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4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4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4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4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4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4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4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4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4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4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4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4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4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4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4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4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4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4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4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4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4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4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4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4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4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4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4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4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4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4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4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4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4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4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4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4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4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4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4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4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4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4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4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4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4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4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4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4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4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4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4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4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4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4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4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4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4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4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4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4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4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4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4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4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4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4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4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4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4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4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4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4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4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4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4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4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4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4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4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4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4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4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4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4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4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4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4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4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4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4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4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4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4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4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4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4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4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4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4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4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4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4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4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4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4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4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4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4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4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4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4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4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4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4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4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4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4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4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4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4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4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4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4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4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4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4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4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4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4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4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4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4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4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4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4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4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4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4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4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4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4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4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4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4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4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4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4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4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4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4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4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4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4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4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4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4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4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4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4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4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4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4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4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4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4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4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4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4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4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4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4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4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4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4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4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4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4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4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4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4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4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4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4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4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4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4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4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4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4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4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4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4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4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4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4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4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4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4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4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4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4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4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4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4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4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4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4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4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4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4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4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4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4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4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4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4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4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4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4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4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4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4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4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4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4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4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4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4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4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4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4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4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4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4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4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4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4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4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4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4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4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4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4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4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4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4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4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4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4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4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4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4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4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4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4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4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4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4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4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4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4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4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4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4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4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4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4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4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4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4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4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4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4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4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4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4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4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4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4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4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4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4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4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4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4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4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4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4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4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4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4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4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4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4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4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4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4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4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4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4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4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4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4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4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4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4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4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4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4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4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4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4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4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4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4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4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4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4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4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4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4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4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4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4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4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4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4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4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4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4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4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4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4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4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4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4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4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4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4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4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4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4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4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4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4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4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4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4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4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4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4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4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4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4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4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4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4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4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4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4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4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4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4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4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4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4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4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4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4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4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4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4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4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4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4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4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4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4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4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4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4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4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4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4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4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4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4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4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4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4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4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4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4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4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4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4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4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4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4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4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4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4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4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4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4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4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4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4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4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4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4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4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4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4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4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4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4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4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4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4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4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4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4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4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4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4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4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4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4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4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4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4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4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4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4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4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4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4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4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4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4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4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4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4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4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4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4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4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4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4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4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4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4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4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4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4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4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4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4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4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4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4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4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4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4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4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4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4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4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4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4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4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4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4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4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4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4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4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4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4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4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4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4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4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4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4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4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4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4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4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4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4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4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4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4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4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4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4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4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4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4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4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4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4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4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4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4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4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4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4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4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4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4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4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4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4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4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4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4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4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4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4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4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4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4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4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4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4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4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4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4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4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4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4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4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4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4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4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4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4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4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4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4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4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4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4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4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4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4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4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4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4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4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4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4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4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4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4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4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4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4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4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4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4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4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4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4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4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4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4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4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4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4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4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4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4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4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4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4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4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4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4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4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4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4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4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4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4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4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4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4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4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4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4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4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4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4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4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4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4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4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4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4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4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4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4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4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4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4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4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4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4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4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4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4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4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4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4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4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4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4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4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4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4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4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4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4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4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4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4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4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4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4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4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4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4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4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4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4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4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4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4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4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4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4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4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4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4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4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4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4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4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4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4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4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4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4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4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4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4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4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4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4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4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4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4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4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4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4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4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4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4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4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4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4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4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4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4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4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4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4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4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4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4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4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4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4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4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4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4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4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4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4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4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4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4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4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4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4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4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4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4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4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4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4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4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4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4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4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4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4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4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4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4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4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4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B1:F5"/>
    <mergeCell ref="J8:K8"/>
    <mergeCell ref="B21:E24"/>
  </mergeCells>
  <conditionalFormatting sqref="A1:G1">
    <cfRule type="colorScale" priority="1">
      <colorScale>
        <cfvo type="percent" val="70"/>
        <cfvo type="formula" val="25"/>
        <cfvo type="formula" val="5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9.75"/>
  </cols>
  <sheetData>
    <row r="1" ht="43.5" customHeight="1">
      <c r="A1" s="4"/>
      <c r="B1" s="90"/>
      <c r="C1" s="2" t="s">
        <v>127</v>
      </c>
      <c r="D1" s="3"/>
      <c r="E1" s="3"/>
      <c r="F1" s="3"/>
      <c r="G1" s="3"/>
      <c r="H1" s="3"/>
      <c r="I1" s="3"/>
      <c r="J1" s="90"/>
      <c r="K1" s="9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3.5" customHeight="1">
      <c r="A2" s="4"/>
      <c r="B2" s="90"/>
      <c r="C2" s="6"/>
      <c r="J2" s="90"/>
      <c r="K2" s="9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3.5" customHeight="1">
      <c r="A3" s="90"/>
      <c r="B3" s="90"/>
      <c r="C3" s="6"/>
      <c r="J3" s="90"/>
      <c r="K3" s="9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3.5" customHeight="1">
      <c r="A4" s="4"/>
      <c r="B4" s="91"/>
      <c r="C4" s="92" t="s">
        <v>128</v>
      </c>
      <c r="D4" s="70">
        <v>2021.0</v>
      </c>
      <c r="E4" s="70">
        <v>2022.0</v>
      </c>
      <c r="F4" s="70">
        <v>2023.0</v>
      </c>
      <c r="G4" s="70">
        <v>2024.0</v>
      </c>
      <c r="H4" s="70">
        <v>2025.0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3.5" customHeight="1">
      <c r="A5" s="4"/>
      <c r="B5" s="91"/>
      <c r="C5" s="92" t="s">
        <v>129</v>
      </c>
      <c r="D5" s="93">
        <f>'Income Sheet(Sources Of Revenue'!G31-'Income Sheet(Sources Of Revenue'!F31</f>
        <v>3806000</v>
      </c>
      <c r="E5" s="93">
        <f>'Income Sheet(Sources Of Revenue'!N31-'Income Sheet(Sources Of Revenue'!M31</f>
        <v>6485600</v>
      </c>
      <c r="F5" s="93">
        <f>'Income Sheet(Sources Of Revenue'!G39-'Income Sheet(Sources Of Revenue'!F39</f>
        <v>9415560</v>
      </c>
      <c r="G5" s="93">
        <f>'Income Sheet(Sources Of Revenue'!N39-'Income Sheet(Sources Of Revenue'!M39</f>
        <v>13454006</v>
      </c>
      <c r="H5" s="93">
        <f>'Income Sheet(Sources Of Revenue'!G47-'Income Sheet(Sources Of Revenue'!F47</f>
        <v>17428908.1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3.5" customHeight="1">
      <c r="A6" s="4"/>
      <c r="B6" s="91"/>
      <c r="C6" s="92" t="s">
        <v>130</v>
      </c>
      <c r="D6" s="93">
        <f>'Cost Sheet(Budget Breakdown)'!M47</f>
        <v>5154286.41</v>
      </c>
      <c r="E6" s="93">
        <f>'Cost Sheet(Budget Breakdown)'!M55</f>
        <v>5465715.051</v>
      </c>
      <c r="F6" s="93">
        <f>'Cost Sheet(Budget Breakdown)'!M63</f>
        <v>5803636.556</v>
      </c>
      <c r="G6" s="93">
        <f>'Cost Sheet(Budget Breakdown)'!M71</f>
        <v>6188000.212</v>
      </c>
      <c r="H6" s="93">
        <f>'Cost Sheet(Budget Breakdown)'!M79</f>
        <v>6595550.233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3.5" customHeight="1">
      <c r="A7" s="4"/>
      <c r="B7" s="91"/>
      <c r="C7" s="92" t="s">
        <v>131</v>
      </c>
      <c r="D7" s="93">
        <f t="shared" ref="D7:H7" si="1">D5-D6</f>
        <v>-1348286.41</v>
      </c>
      <c r="E7" s="93">
        <f t="shared" si="1"/>
        <v>1019884.949</v>
      </c>
      <c r="F7" s="93">
        <f t="shared" si="1"/>
        <v>3611923.444</v>
      </c>
      <c r="G7" s="93">
        <f t="shared" si="1"/>
        <v>7266005.788</v>
      </c>
      <c r="H7" s="93">
        <f t="shared" si="1"/>
        <v>10833357.87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3.5" customHeight="1">
      <c r="A8" s="4"/>
      <c r="B8" s="91"/>
      <c r="C8" s="92" t="s">
        <v>132</v>
      </c>
      <c r="D8" s="93">
        <f>'Income Sheet(Sources Of Revenue'!F31</f>
        <v>64750</v>
      </c>
      <c r="E8" s="93">
        <f>'Income Sheet(Sources Of Revenue'!M31</f>
        <v>129000</v>
      </c>
      <c r="F8" s="93">
        <f>'Income Sheet(Sources Of Revenue'!F39</f>
        <v>167500</v>
      </c>
      <c r="G8" s="93">
        <f>'Income Sheet(Sources Of Revenue'!M39</f>
        <v>215000</v>
      </c>
      <c r="H8" s="93">
        <f>'Income Sheet(Sources Of Revenue'!F47</f>
        <v>239500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3.5" customHeight="1">
      <c r="A9" s="4"/>
      <c r="B9" s="91"/>
      <c r="C9" s="92" t="s">
        <v>133</v>
      </c>
      <c r="D9" s="93">
        <f>'Cost Sheet(Budget Breakdown)'!G35</f>
        <v>256956.6667</v>
      </c>
      <c r="E9" s="93">
        <f>'Cost Sheet(Budget Breakdown)'!G35</f>
        <v>256956.6667</v>
      </c>
      <c r="F9" s="93">
        <f>'Cost Sheet(Budget Breakdown)'!G35</f>
        <v>256956.6667</v>
      </c>
      <c r="G9" s="93">
        <f>F9</f>
        <v>256956.6667</v>
      </c>
      <c r="H9" s="93">
        <f>F9</f>
        <v>256956.6667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3.5" customHeight="1">
      <c r="A10" s="4"/>
      <c r="B10" s="94"/>
      <c r="C10" s="92" t="s">
        <v>134</v>
      </c>
      <c r="D10" s="93">
        <v>0.0</v>
      </c>
      <c r="E10" s="93">
        <v>0.0</v>
      </c>
      <c r="F10" s="93">
        <v>0.0</v>
      </c>
      <c r="G10" s="93">
        <v>0.0</v>
      </c>
      <c r="H10" s="93">
        <v>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3.5" customHeight="1">
      <c r="A11" s="4"/>
      <c r="B11" s="95" t="s">
        <v>135</v>
      </c>
      <c r="C11" s="92" t="s">
        <v>136</v>
      </c>
      <c r="D11" s="93">
        <f t="shared" ref="D11:H11" si="2">(D7+D8)-(D9+D10)</f>
        <v>-1540493.077</v>
      </c>
      <c r="E11" s="93">
        <f t="shared" si="2"/>
        <v>891928.2823</v>
      </c>
      <c r="F11" s="93">
        <f t="shared" si="2"/>
        <v>3522466.777</v>
      </c>
      <c r="G11" s="93">
        <f t="shared" si="2"/>
        <v>7224049.122</v>
      </c>
      <c r="H11" s="93">
        <f t="shared" si="2"/>
        <v>10815901.2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3.5" customHeight="1">
      <c r="A12" s="4"/>
      <c r="B12" s="91"/>
      <c r="C12" s="92" t="s">
        <v>137</v>
      </c>
      <c r="D12" s="93">
        <v>0.0</v>
      </c>
      <c r="E12" s="93">
        <f t="shared" ref="E12:H12" si="3">E11*0.19</f>
        <v>169466.3736</v>
      </c>
      <c r="F12" s="93">
        <f t="shared" si="3"/>
        <v>669268.6877</v>
      </c>
      <c r="G12" s="93">
        <f t="shared" si="3"/>
        <v>1372569.333</v>
      </c>
      <c r="H12" s="93">
        <f t="shared" si="3"/>
        <v>2055021.228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3.5" customHeight="1">
      <c r="A13" s="4"/>
      <c r="B13" s="95" t="s">
        <v>138</v>
      </c>
      <c r="C13" s="96" t="s">
        <v>139</v>
      </c>
      <c r="D13" s="97">
        <f t="shared" ref="D13:H13" si="4">D11-D12</f>
        <v>-1540493.077</v>
      </c>
      <c r="E13" s="97">
        <f t="shared" si="4"/>
        <v>722461.9087</v>
      </c>
      <c r="F13" s="97">
        <f t="shared" si="4"/>
        <v>2853198.09</v>
      </c>
      <c r="G13" s="97">
        <f t="shared" si="4"/>
        <v>5851479.789</v>
      </c>
      <c r="H13" s="97">
        <f t="shared" si="4"/>
        <v>8760879.972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3.5" customHeight="1">
      <c r="A14" s="4"/>
      <c r="B14" s="98"/>
      <c r="C14" s="95"/>
      <c r="D14" s="99"/>
      <c r="E14" s="99"/>
      <c r="F14" s="99"/>
      <c r="G14" s="99"/>
      <c r="H14" s="9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3.5" customHeight="1">
      <c r="A15" s="4"/>
      <c r="B15" s="4"/>
      <c r="C15" s="100" t="s">
        <v>140</v>
      </c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3.5" customHeight="1">
      <c r="A16" s="4"/>
      <c r="B16" s="4"/>
      <c r="C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3.5" customHeight="1">
      <c r="A17" s="4"/>
      <c r="B17" s="4"/>
      <c r="C17" s="92" t="s">
        <v>141</v>
      </c>
      <c r="D17" s="97">
        <f t="shared" ref="D17:H17" si="5">D13</f>
        <v>-1540493.077</v>
      </c>
      <c r="E17" s="97">
        <f t="shared" si="5"/>
        <v>722461.9087</v>
      </c>
      <c r="F17" s="97">
        <f t="shared" si="5"/>
        <v>2853198.09</v>
      </c>
      <c r="G17" s="97">
        <f t="shared" si="5"/>
        <v>5851479.789</v>
      </c>
      <c r="H17" s="97">
        <f t="shared" si="5"/>
        <v>8760879.972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3.5" customHeight="1">
      <c r="A18" s="4"/>
      <c r="B18" s="4"/>
      <c r="C18" s="92" t="s">
        <v>142</v>
      </c>
      <c r="D18" s="101">
        <f t="shared" ref="D18:H18" si="6">D13/D5</f>
        <v>-0.4047538299</v>
      </c>
      <c r="E18" s="101">
        <f t="shared" si="6"/>
        <v>0.1113947682</v>
      </c>
      <c r="F18" s="101">
        <f t="shared" si="6"/>
        <v>0.3030301001</v>
      </c>
      <c r="G18" s="101">
        <f t="shared" si="6"/>
        <v>0.4349247197</v>
      </c>
      <c r="H18" s="101">
        <f t="shared" si="6"/>
        <v>0.502663731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3.5" customHeight="1">
      <c r="A19" s="4"/>
      <c r="B19" s="4"/>
      <c r="C19" s="96" t="s">
        <v>143</v>
      </c>
      <c r="D19" s="102">
        <f t="shared" ref="D19:H19" si="7">D18</f>
        <v>-0.4047538299</v>
      </c>
      <c r="E19" s="102">
        <f t="shared" si="7"/>
        <v>0.1113947682</v>
      </c>
      <c r="F19" s="102">
        <f t="shared" si="7"/>
        <v>0.3030301001</v>
      </c>
      <c r="G19" s="102">
        <f t="shared" si="7"/>
        <v>0.4349247197</v>
      </c>
      <c r="H19" s="102">
        <f t="shared" si="7"/>
        <v>0.502663731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4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4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4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4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4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4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4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4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4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4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4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4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4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4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4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4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4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4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4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4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4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4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4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4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4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4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4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4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4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4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4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4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4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4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4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4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4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4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4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4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4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4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4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4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4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4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4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4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4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4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4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4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4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4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4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4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4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4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4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4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4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4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4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4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4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4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4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4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4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4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4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4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4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4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4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4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4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4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4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4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4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4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4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4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4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4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4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4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4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4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4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4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4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4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4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4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4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4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4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4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4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4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4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4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4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4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4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4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4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4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4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4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4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4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4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4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4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4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4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4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4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4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4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4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4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4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4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4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4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4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4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4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4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4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4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4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4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4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4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4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4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4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4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4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4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4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4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4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4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4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4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4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4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4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4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4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4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4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4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4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4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4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4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4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4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4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4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4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4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4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4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4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4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4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4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4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4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4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4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4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4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4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4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4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4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4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4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4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4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4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4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4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4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4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4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4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4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4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4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4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4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4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4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4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4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4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4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4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4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4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4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4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4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4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4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4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4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4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4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4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4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4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4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4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4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4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4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4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4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4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4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4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4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4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4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4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4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4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4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4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4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4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4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4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4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4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4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4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4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4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4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4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4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4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4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4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4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4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4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4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4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4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4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4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4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4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4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4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4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4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4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4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4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4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4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4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4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4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4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4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4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4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4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4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4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4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4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4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4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4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4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4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4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4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4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4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4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4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4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4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4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4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4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4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4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4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4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4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4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4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4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4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4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4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4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4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4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4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4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4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4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4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4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4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4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4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4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4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4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4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4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4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4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4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4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4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4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4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4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4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4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4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4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4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4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4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4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4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4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4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4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4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4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4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4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4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4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4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4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4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4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4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4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4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4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4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4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4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4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4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4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4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4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4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4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4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4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4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4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4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4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4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4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4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4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4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4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4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4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4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4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4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4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4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4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4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4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4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4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4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4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4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4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4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4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4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4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4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4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4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4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4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4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4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4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4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4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4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4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4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4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4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4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4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4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4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4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4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4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4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4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4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4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4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4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4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4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4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4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4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4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4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4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4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4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4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4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4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4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4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4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4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4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4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4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4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4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4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4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4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4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4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4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4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4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4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4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4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4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4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4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4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4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4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4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4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4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4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4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4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4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4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4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4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4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4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4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4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4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4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4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4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4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4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4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4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4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4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4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4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4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4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4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4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4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4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4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4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4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4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4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4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4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4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4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4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4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4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4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4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4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4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4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4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4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4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4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4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4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4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4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4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4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4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4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4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4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4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4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4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4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4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4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4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4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4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4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4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4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4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4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4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4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4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4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4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4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4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4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4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4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4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4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4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4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4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4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4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4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4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4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4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4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4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4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4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4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4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4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4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4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4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4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4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4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4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4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4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4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4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4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4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4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4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4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4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4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4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4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4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4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4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4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4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4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4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4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4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4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4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4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4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4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4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4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4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4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4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4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4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4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4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4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4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4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4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4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4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4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4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4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4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4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4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4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4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4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4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4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4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4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4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4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4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4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4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4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4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4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4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4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4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4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4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4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4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4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4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4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4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4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4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4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4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4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4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4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4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4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4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4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4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4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4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4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4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4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4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4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4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4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4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4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4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4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4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4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4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4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4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4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4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4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4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4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4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4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4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4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4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4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4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4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4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4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4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4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4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4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4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4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4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4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4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4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4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4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4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4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4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4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4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4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4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4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4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4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4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4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4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4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4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4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4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4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4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4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4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4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4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4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4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4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4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4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4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4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4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4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4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4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4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4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4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4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4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4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4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4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4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4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4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4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4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4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4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4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4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4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4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4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4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4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4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4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4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4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4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4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4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4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4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4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4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4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4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4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4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4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4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4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4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4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4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4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4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4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4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4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4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4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4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4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4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4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4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4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4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4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4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4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4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4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4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4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4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4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4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4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4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4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4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4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4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4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4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4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4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4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4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4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4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4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4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4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4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4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4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4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4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4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4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4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4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4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4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4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4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4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4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4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4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4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4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4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4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4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4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4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4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4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4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4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4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4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4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4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4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4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4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4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4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4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4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4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4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4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4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4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4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4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4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4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4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4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4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4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4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4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4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4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4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4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4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4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4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4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4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4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4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4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4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4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4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4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4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4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4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4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4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4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4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4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4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4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4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4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4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4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C1:I3"/>
    <mergeCell ref="C15:E16"/>
  </mergeCells>
  <conditionalFormatting sqref="B1:G1">
    <cfRule type="colorScale" priority="1">
      <colorScale>
        <cfvo type="percent" val="70"/>
        <cfvo type="formula" val="25"/>
        <cfvo type="formula" val="5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27.13"/>
  </cols>
  <sheetData>
    <row r="1" ht="43.5" customHeight="1">
      <c r="A1" s="103"/>
      <c r="B1" s="104" t="s">
        <v>144</v>
      </c>
      <c r="C1" s="3"/>
      <c r="D1" s="3"/>
      <c r="E1" s="3"/>
      <c r="F1" s="3"/>
      <c r="G1" s="3"/>
      <c r="H1" s="10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3.5" customHeight="1">
      <c r="A2" s="103"/>
      <c r="B2" s="6"/>
      <c r="H2" s="10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3.5" customHeight="1">
      <c r="A3" s="103"/>
      <c r="B3" s="6"/>
      <c r="H3" s="10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3.5" customHeight="1">
      <c r="A4" s="4"/>
      <c r="B4" s="10" t="s">
        <v>145</v>
      </c>
      <c r="C4" s="5"/>
      <c r="D4" s="4"/>
      <c r="E4" s="5"/>
      <c r="F4" s="5"/>
      <c r="G4" s="5"/>
      <c r="H4" s="5"/>
      <c r="I4" s="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3.5" customHeight="1">
      <c r="A5" s="4"/>
      <c r="B5" s="5"/>
      <c r="C5" s="5"/>
      <c r="D5" s="62"/>
      <c r="E5" s="105" t="s">
        <v>146</v>
      </c>
      <c r="F5" s="62"/>
      <c r="G5" s="62"/>
      <c r="H5" s="62"/>
      <c r="I5" s="6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3.5" customHeight="1">
      <c r="A6" s="4"/>
      <c r="B6" s="69" t="s">
        <v>147</v>
      </c>
      <c r="C6" s="69" t="s">
        <v>148</v>
      </c>
      <c r="D6" s="69" t="s">
        <v>149</v>
      </c>
      <c r="E6" s="69" t="s">
        <v>150</v>
      </c>
      <c r="F6" s="69" t="s">
        <v>151</v>
      </c>
      <c r="G6" s="69" t="s">
        <v>152</v>
      </c>
      <c r="H6" s="69" t="s">
        <v>153</v>
      </c>
      <c r="I6" s="71" t="s">
        <v>154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3.5" customHeight="1">
      <c r="A7" s="4"/>
      <c r="B7" s="106">
        <v>0.0</v>
      </c>
      <c r="C7" s="106">
        <f>'Cost Sheet(Budget Breakdown)'!F35</f>
        <v>1300000</v>
      </c>
      <c r="D7" s="77">
        <v>0.0</v>
      </c>
      <c r="E7" s="76">
        <f>0</f>
        <v>0</v>
      </c>
      <c r="F7" s="76">
        <f>C7</f>
        <v>1300000</v>
      </c>
      <c r="G7" s="107">
        <f>C7</f>
        <v>1300000</v>
      </c>
      <c r="H7" s="76">
        <f t="shared" ref="H7:H16" si="2">G7-E7</f>
        <v>1300000</v>
      </c>
      <c r="I7" s="76">
        <f t="shared" ref="I7:I27" si="3">E7-G7</f>
        <v>-1300000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3.5" customHeight="1">
      <c r="A8" s="4"/>
      <c r="B8" s="106">
        <f>'Income Sheet(Sources Of Revenue'!G31/4</f>
        <v>967687.5</v>
      </c>
      <c r="C8" s="106">
        <f>'Cost Sheet(Budget Breakdown)'!M43</f>
        <v>1288571.603</v>
      </c>
      <c r="D8" s="77">
        <v>1.0</v>
      </c>
      <c r="E8" s="107">
        <f t="shared" ref="E8:F8" si="1">E7+B8</f>
        <v>967687.5</v>
      </c>
      <c r="F8" s="107">
        <f t="shared" si="1"/>
        <v>2588571.603</v>
      </c>
      <c r="G8" s="107">
        <f t="shared" ref="G8:G11" si="5">F8</f>
        <v>2588571.603</v>
      </c>
      <c r="H8" s="76">
        <f t="shared" si="2"/>
        <v>1620884.103</v>
      </c>
      <c r="I8" s="76">
        <f t="shared" si="3"/>
        <v>-1620884.103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3.5" customHeight="1">
      <c r="A9" s="4"/>
      <c r="B9" s="106">
        <f t="shared" ref="B9:B11" si="6">B8</f>
        <v>967687.5</v>
      </c>
      <c r="C9" s="106">
        <f>'Cost Sheet(Budget Breakdown)'!M44</f>
        <v>1288571.603</v>
      </c>
      <c r="D9" s="77">
        <v>2.0</v>
      </c>
      <c r="E9" s="107">
        <f t="shared" ref="E9:F9" si="4">E8+B9</f>
        <v>1935375</v>
      </c>
      <c r="F9" s="107">
        <f t="shared" si="4"/>
        <v>3877143.205</v>
      </c>
      <c r="G9" s="107">
        <f t="shared" si="5"/>
        <v>3877143.205</v>
      </c>
      <c r="H9" s="76">
        <f t="shared" si="2"/>
        <v>1941768.205</v>
      </c>
      <c r="I9" s="76">
        <f t="shared" si="3"/>
        <v>-1941768.205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3.5" customHeight="1">
      <c r="A10" s="4"/>
      <c r="B10" s="106">
        <f t="shared" si="6"/>
        <v>967687.5</v>
      </c>
      <c r="C10" s="106">
        <f>'Cost Sheet(Budget Breakdown)'!M45</f>
        <v>1288571.603</v>
      </c>
      <c r="D10" s="77">
        <v>3.0</v>
      </c>
      <c r="E10" s="107">
        <f t="shared" ref="E10:F10" si="7">E9+B10</f>
        <v>2903062.5</v>
      </c>
      <c r="F10" s="107">
        <f t="shared" si="7"/>
        <v>5165714.808</v>
      </c>
      <c r="G10" s="107">
        <f t="shared" si="5"/>
        <v>5165714.808</v>
      </c>
      <c r="H10" s="76">
        <f t="shared" si="2"/>
        <v>2262652.308</v>
      </c>
      <c r="I10" s="76">
        <f t="shared" si="3"/>
        <v>-2262652.308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3.5" customHeight="1">
      <c r="A11" s="4"/>
      <c r="B11" s="106">
        <f t="shared" si="6"/>
        <v>967687.5</v>
      </c>
      <c r="C11" s="106">
        <f>'Cost Sheet(Budget Breakdown)'!M46</f>
        <v>1288571.603</v>
      </c>
      <c r="D11" s="77">
        <v>4.0</v>
      </c>
      <c r="E11" s="107">
        <f t="shared" ref="E11:F11" si="8">E10+B11</f>
        <v>3870750</v>
      </c>
      <c r="F11" s="107">
        <f t="shared" si="8"/>
        <v>6454286.41</v>
      </c>
      <c r="G11" s="107">
        <f t="shared" si="5"/>
        <v>6454286.41</v>
      </c>
      <c r="H11" s="76">
        <f t="shared" si="2"/>
        <v>2583536.41</v>
      </c>
      <c r="I11" s="76">
        <f t="shared" si="3"/>
        <v>-2583536.41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3.5" customHeight="1">
      <c r="A12" s="4"/>
      <c r="B12" s="106">
        <f>('Income Sheet(Sources Of Revenue'!N31/4)</f>
        <v>1653650</v>
      </c>
      <c r="C12" s="106">
        <f>'Cost Sheet(Budget Breakdown)'!M51</f>
        <v>1366428.763</v>
      </c>
      <c r="D12" s="77">
        <v>5.0</v>
      </c>
      <c r="E12" s="107">
        <f t="shared" ref="E12:F12" si="9">E11+B12</f>
        <v>5524400</v>
      </c>
      <c r="F12" s="107">
        <f t="shared" si="9"/>
        <v>7820715.173</v>
      </c>
      <c r="G12" s="107">
        <f t="shared" ref="G12:G27" si="11">F12+0.19*(B12-C12)</f>
        <v>7875287.208</v>
      </c>
      <c r="H12" s="76">
        <f t="shared" si="2"/>
        <v>2350887.208</v>
      </c>
      <c r="I12" s="76">
        <f t="shared" si="3"/>
        <v>-2350887.208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3.5" customHeight="1">
      <c r="A13" s="4"/>
      <c r="B13" s="106">
        <f>'Income Sheet(Sources Of Revenue'!N31/4</f>
        <v>1653650</v>
      </c>
      <c r="C13" s="106">
        <f>'Cost Sheet(Budget Breakdown)'!M52</f>
        <v>1366428.763</v>
      </c>
      <c r="D13" s="77">
        <v>6.0</v>
      </c>
      <c r="E13" s="107">
        <f t="shared" ref="E13:F13" si="10">E12+B13</f>
        <v>7178050</v>
      </c>
      <c r="F13" s="107">
        <f t="shared" si="10"/>
        <v>9187143.936</v>
      </c>
      <c r="G13" s="107">
        <f t="shared" si="11"/>
        <v>9241715.971</v>
      </c>
      <c r="H13" s="76">
        <f t="shared" si="2"/>
        <v>2063665.971</v>
      </c>
      <c r="I13" s="76">
        <f t="shared" si="3"/>
        <v>-2063665.971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3.5" customHeight="1">
      <c r="A14" s="4"/>
      <c r="B14" s="106">
        <f>'Income Sheet(Sources Of Revenue'!N31/4</f>
        <v>1653650</v>
      </c>
      <c r="C14" s="106">
        <f>'Cost Sheet(Budget Breakdown)'!M53</f>
        <v>1366428.763</v>
      </c>
      <c r="D14" s="77">
        <v>7.0</v>
      </c>
      <c r="E14" s="107">
        <f t="shared" ref="E14:F14" si="12">E13+B14</f>
        <v>8831700</v>
      </c>
      <c r="F14" s="107">
        <f t="shared" si="12"/>
        <v>10553572.7</v>
      </c>
      <c r="G14" s="107">
        <f t="shared" si="11"/>
        <v>10608144.73</v>
      </c>
      <c r="H14" s="76">
        <f t="shared" si="2"/>
        <v>1776444.733</v>
      </c>
      <c r="I14" s="76">
        <f t="shared" si="3"/>
        <v>-1776444.733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3.5" customHeight="1">
      <c r="A15" s="4"/>
      <c r="B15" s="106">
        <f>'Income Sheet(Sources Of Revenue'!N31/4</f>
        <v>1653650</v>
      </c>
      <c r="C15" s="106">
        <f>'Cost Sheet(Budget Breakdown)'!M54</f>
        <v>1366428.763</v>
      </c>
      <c r="D15" s="77">
        <v>8.0</v>
      </c>
      <c r="E15" s="107">
        <f t="shared" ref="E15:F15" si="13">E14+B15</f>
        <v>10485350</v>
      </c>
      <c r="F15" s="107">
        <f t="shared" si="13"/>
        <v>11920001.46</v>
      </c>
      <c r="G15" s="107">
        <f t="shared" si="11"/>
        <v>11974573.5</v>
      </c>
      <c r="H15" s="76">
        <f t="shared" si="2"/>
        <v>1489223.496</v>
      </c>
      <c r="I15" s="76">
        <f t="shared" si="3"/>
        <v>-1489223.496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3.5" customHeight="1">
      <c r="A16" s="4"/>
      <c r="B16" s="106">
        <f>'Income Sheet(Sources Of Revenue'!G39/4</f>
        <v>2395765</v>
      </c>
      <c r="C16" s="106">
        <f>'Cost Sheet(Budget Breakdown)'!M59</f>
        <v>1450909.139</v>
      </c>
      <c r="D16" s="77">
        <v>9.0</v>
      </c>
      <c r="E16" s="107">
        <f t="shared" ref="E16:F16" si="14">E15+B16</f>
        <v>12881115</v>
      </c>
      <c r="F16" s="107">
        <f t="shared" si="14"/>
        <v>13370910.6</v>
      </c>
      <c r="G16" s="107">
        <f t="shared" si="11"/>
        <v>13550433.21</v>
      </c>
      <c r="H16" s="76">
        <f t="shared" si="2"/>
        <v>669318.2136</v>
      </c>
      <c r="I16" s="76">
        <f t="shared" si="3"/>
        <v>-669318.2136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3.5" customHeight="1">
      <c r="A17" s="4"/>
      <c r="B17" s="106">
        <f>'Income Sheet(Sources Of Revenue'!G39/4</f>
        <v>2395765</v>
      </c>
      <c r="C17" s="106">
        <f>'Cost Sheet(Budget Breakdown)'!M60</f>
        <v>1450909.139</v>
      </c>
      <c r="D17" s="77">
        <v>10.0</v>
      </c>
      <c r="E17" s="107">
        <f t="shared" ref="E17:F17" si="15">E16+B17</f>
        <v>15276880</v>
      </c>
      <c r="F17" s="107">
        <f t="shared" si="15"/>
        <v>14821819.74</v>
      </c>
      <c r="G17" s="107">
        <f t="shared" si="11"/>
        <v>15001342.35</v>
      </c>
      <c r="H17" s="76"/>
      <c r="I17" s="76">
        <f t="shared" si="3"/>
        <v>275537.6474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3.5" customHeight="1">
      <c r="A18" s="4"/>
      <c r="B18" s="106">
        <f>'Income Sheet(Sources Of Revenue'!G39/4</f>
        <v>2395765</v>
      </c>
      <c r="C18" s="106">
        <f>'Cost Sheet(Budget Breakdown)'!M61</f>
        <v>1450909.139</v>
      </c>
      <c r="D18" s="77">
        <v>11.0</v>
      </c>
      <c r="E18" s="107">
        <f t="shared" ref="E18:F18" si="16">E17+B18</f>
        <v>17672645</v>
      </c>
      <c r="F18" s="107">
        <f t="shared" si="16"/>
        <v>16272728.88</v>
      </c>
      <c r="G18" s="107">
        <f t="shared" si="11"/>
        <v>16452251.49</v>
      </c>
      <c r="H18" s="76"/>
      <c r="I18" s="76">
        <f t="shared" si="3"/>
        <v>1220393.508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3.5" customHeight="1">
      <c r="A19" s="4"/>
      <c r="B19" s="106">
        <f>'Income Sheet(Sources Of Revenue'!G39/4</f>
        <v>2395765</v>
      </c>
      <c r="C19" s="106">
        <f>'Cost Sheet(Budget Breakdown)'!M62</f>
        <v>1450909.139</v>
      </c>
      <c r="D19" s="77">
        <v>12.0</v>
      </c>
      <c r="E19" s="107">
        <f t="shared" ref="E19:F19" si="17">E18+B19</f>
        <v>20068410</v>
      </c>
      <c r="F19" s="107">
        <f t="shared" si="17"/>
        <v>17723638.02</v>
      </c>
      <c r="G19" s="107">
        <f t="shared" si="11"/>
        <v>17903160.63</v>
      </c>
      <c r="H19" s="76"/>
      <c r="I19" s="76">
        <f t="shared" si="3"/>
        <v>2165249.369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3.5" customHeight="1">
      <c r="A20" s="4"/>
      <c r="B20" s="106">
        <f>'Income Sheet(Sources Of Revenue'!N39/4</f>
        <v>3417251.5</v>
      </c>
      <c r="C20" s="106">
        <f>'Cost Sheet(Budget Breakdown)'!M67</f>
        <v>1547000.053</v>
      </c>
      <c r="D20" s="77">
        <v>13.0</v>
      </c>
      <c r="E20" s="107">
        <f t="shared" ref="E20:F20" si="18">E19+B20</f>
        <v>23485661.5</v>
      </c>
      <c r="F20" s="107">
        <f t="shared" si="18"/>
        <v>19270638.07</v>
      </c>
      <c r="G20" s="107">
        <f t="shared" si="11"/>
        <v>19625985.84</v>
      </c>
      <c r="H20" s="108"/>
      <c r="I20" s="76">
        <f t="shared" si="3"/>
        <v>3859675.655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3.5" customHeight="1">
      <c r="A21" s="4"/>
      <c r="B21" s="106">
        <f t="shared" ref="B21:B23" si="20">B20</f>
        <v>3417251.5</v>
      </c>
      <c r="C21" s="106">
        <f>'Cost Sheet(Budget Breakdown)'!M68</f>
        <v>1547000.053</v>
      </c>
      <c r="D21" s="77">
        <v>14.0</v>
      </c>
      <c r="E21" s="107">
        <f t="shared" ref="E21:F21" si="19">E20+B21</f>
        <v>26902913</v>
      </c>
      <c r="F21" s="107">
        <f t="shared" si="19"/>
        <v>20817638.12</v>
      </c>
      <c r="G21" s="107">
        <f t="shared" si="11"/>
        <v>21172985.9</v>
      </c>
      <c r="H21" s="108"/>
      <c r="I21" s="76">
        <f t="shared" si="3"/>
        <v>5729927.102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3.5" customHeight="1">
      <c r="A22" s="4"/>
      <c r="B22" s="106">
        <f t="shared" si="20"/>
        <v>3417251.5</v>
      </c>
      <c r="C22" s="106">
        <f>'Cost Sheet(Budget Breakdown)'!M69</f>
        <v>1547000.053</v>
      </c>
      <c r="D22" s="77">
        <v>15.0</v>
      </c>
      <c r="E22" s="107">
        <f t="shared" ref="E22:F22" si="21">E21+B22</f>
        <v>30320164.5</v>
      </c>
      <c r="F22" s="107">
        <f t="shared" si="21"/>
        <v>22364638.18</v>
      </c>
      <c r="G22" s="107">
        <f t="shared" si="11"/>
        <v>22719985.95</v>
      </c>
      <c r="H22" s="108"/>
      <c r="I22" s="76">
        <f t="shared" si="3"/>
        <v>7600178.549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3.5" customHeight="1">
      <c r="A23" s="4"/>
      <c r="B23" s="106">
        <f t="shared" si="20"/>
        <v>3417251.5</v>
      </c>
      <c r="C23" s="106">
        <f>'Cost Sheet(Budget Breakdown)'!M70</f>
        <v>1547000.053</v>
      </c>
      <c r="D23" s="77">
        <v>16.0</v>
      </c>
      <c r="E23" s="107">
        <f t="shared" ref="E23:F23" si="22">E22+B23</f>
        <v>33737416</v>
      </c>
      <c r="F23" s="107">
        <f t="shared" si="22"/>
        <v>23911638.23</v>
      </c>
      <c r="G23" s="107">
        <f t="shared" si="11"/>
        <v>24266986</v>
      </c>
      <c r="H23" s="108"/>
      <c r="I23" s="76">
        <f t="shared" si="3"/>
        <v>9470429.996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3.5" customHeight="1">
      <c r="A24" s="4"/>
      <c r="B24" s="106">
        <f>'Income Sheet(Sources Of Revenue'!G47/4</f>
        <v>4417102.025</v>
      </c>
      <c r="C24" s="106">
        <f>'Cost Sheet(Budget Breakdown)'!M75</f>
        <v>1648887.558</v>
      </c>
      <c r="D24" s="77">
        <v>17.0</v>
      </c>
      <c r="E24" s="107">
        <f t="shared" ref="E24:F24" si="23">E23+B24</f>
        <v>38154518.03</v>
      </c>
      <c r="F24" s="107">
        <f t="shared" si="23"/>
        <v>25560525.79</v>
      </c>
      <c r="G24" s="107">
        <f t="shared" si="11"/>
        <v>26086486.54</v>
      </c>
      <c r="H24" s="108"/>
      <c r="I24" s="76">
        <f t="shared" si="3"/>
        <v>12068031.49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3.5" customHeight="1">
      <c r="A25" s="4"/>
      <c r="B25" s="106">
        <f t="shared" ref="B25:B27" si="25">B24</f>
        <v>4417102.025</v>
      </c>
      <c r="C25" s="106">
        <f>'Cost Sheet(Budget Breakdown)'!M76</f>
        <v>1648887.558</v>
      </c>
      <c r="D25" s="77">
        <v>18.0</v>
      </c>
      <c r="E25" s="107">
        <f t="shared" ref="E25:F25" si="24">E24+B25</f>
        <v>42571620.05</v>
      </c>
      <c r="F25" s="107">
        <f t="shared" si="24"/>
        <v>27209413.35</v>
      </c>
      <c r="G25" s="107">
        <f t="shared" si="11"/>
        <v>27735374.09</v>
      </c>
      <c r="H25" s="109"/>
      <c r="I25" s="76">
        <f t="shared" si="3"/>
        <v>14836245.96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3.5" customHeight="1">
      <c r="A26" s="4"/>
      <c r="B26" s="106">
        <f t="shared" si="25"/>
        <v>4417102.025</v>
      </c>
      <c r="C26" s="106">
        <f>'Cost Sheet(Budget Breakdown)'!M77</f>
        <v>1648887.558</v>
      </c>
      <c r="D26" s="77">
        <v>19.0</v>
      </c>
      <c r="E26" s="107">
        <f t="shared" ref="E26:F26" si="26">E25+B26</f>
        <v>46988722.08</v>
      </c>
      <c r="F26" s="107">
        <f t="shared" si="26"/>
        <v>28858300.9</v>
      </c>
      <c r="G26" s="107">
        <f t="shared" si="11"/>
        <v>29384261.65</v>
      </c>
      <c r="H26" s="108"/>
      <c r="I26" s="76">
        <f t="shared" si="3"/>
        <v>17604460.42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3.5" customHeight="1">
      <c r="A27" s="4"/>
      <c r="B27" s="106">
        <f t="shared" si="25"/>
        <v>4417102.025</v>
      </c>
      <c r="C27" s="106">
        <f>'Cost Sheet(Budget Breakdown)'!M78</f>
        <v>1648887.558</v>
      </c>
      <c r="D27" s="77">
        <v>20.0</v>
      </c>
      <c r="E27" s="107">
        <f t="shared" ref="E27:F27" si="27">E26+B27</f>
        <v>51405824.1</v>
      </c>
      <c r="F27" s="107">
        <f t="shared" si="27"/>
        <v>30507188.46</v>
      </c>
      <c r="G27" s="107">
        <f t="shared" si="11"/>
        <v>31033149.21</v>
      </c>
      <c r="H27" s="108"/>
      <c r="I27" s="76">
        <f t="shared" si="3"/>
        <v>20372674.89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3.5" customHeight="1">
      <c r="A29" s="4"/>
      <c r="B29" s="10" t="s">
        <v>155</v>
      </c>
      <c r="C29" s="4"/>
      <c r="D29" s="4"/>
      <c r="E29" s="4"/>
      <c r="F29" s="10" t="s">
        <v>156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3.5" customHeight="1">
      <c r="A31" s="4"/>
      <c r="B31" s="4"/>
      <c r="C31" s="4"/>
      <c r="D31" s="4"/>
      <c r="E31" s="4"/>
      <c r="F31" s="70" t="s">
        <v>157</v>
      </c>
      <c r="G31" s="70" t="s">
        <v>158</v>
      </c>
      <c r="H31" s="70" t="s">
        <v>159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3.5" customHeight="1">
      <c r="A32" s="4"/>
      <c r="B32" s="4"/>
      <c r="C32" s="4"/>
      <c r="D32" s="4"/>
      <c r="E32" s="4"/>
      <c r="F32" s="70">
        <v>2021.0</v>
      </c>
      <c r="G32" s="77">
        <f>'P&amp;L and PAT Ratio'!D13/1750000*100</f>
        <v>-88.02817581</v>
      </c>
      <c r="H32" s="77">
        <f t="shared" ref="H32:H36" si="28">G32*0.3</f>
        <v>-26.40845274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3.5" customHeight="1">
      <c r="A33" s="4"/>
      <c r="B33" s="4"/>
      <c r="C33" s="4"/>
      <c r="D33" s="4"/>
      <c r="E33" s="4"/>
      <c r="F33" s="70">
        <v>2022.0</v>
      </c>
      <c r="G33" s="77">
        <f>('P&amp;L and PAT Ratio'!E13)/1750000*100</f>
        <v>41.28353764</v>
      </c>
      <c r="H33" s="77">
        <f t="shared" si="28"/>
        <v>12.38506129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3.5" customHeight="1">
      <c r="A34" s="4"/>
      <c r="B34" s="4"/>
      <c r="C34" s="4"/>
      <c r="D34" s="4"/>
      <c r="E34" s="4"/>
      <c r="F34" s="70">
        <v>2023.0</v>
      </c>
      <c r="G34" s="77">
        <f>('P&amp;L and PAT Ratio'!F13)/1750000*100</f>
        <v>163.0398908</v>
      </c>
      <c r="H34" s="77">
        <f t="shared" si="28"/>
        <v>48.91196725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3.5" customHeight="1">
      <c r="A35" s="4"/>
      <c r="B35" s="4"/>
      <c r="C35" s="4"/>
      <c r="D35" s="4"/>
      <c r="E35" s="4"/>
      <c r="F35" s="70">
        <v>2024.0</v>
      </c>
      <c r="G35" s="77">
        <f>('P&amp;L and PAT Ratio'!G13)/1750000*100</f>
        <v>334.3702736</v>
      </c>
      <c r="H35" s="77">
        <f t="shared" si="28"/>
        <v>100.3110821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3.5" customHeight="1">
      <c r="A36" s="4"/>
      <c r="B36" s="4"/>
      <c r="C36" s="4"/>
      <c r="D36" s="4"/>
      <c r="E36" s="4"/>
      <c r="F36" s="70">
        <v>2025.0</v>
      </c>
      <c r="G36" s="77">
        <f>('P&amp;L and PAT Ratio'!H13)/1750000*100</f>
        <v>500.6217127</v>
      </c>
      <c r="H36" s="77">
        <f t="shared" si="28"/>
        <v>150.1865138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4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4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4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4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4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4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4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4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4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4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4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4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4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4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4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4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4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4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4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4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4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4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4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4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4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4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4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4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4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4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4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4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4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4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4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4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4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4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4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4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4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4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4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4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4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4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4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4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4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4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4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4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4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4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4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4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4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4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4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4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4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4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4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4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4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4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4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4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4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4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4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4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4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4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4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4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4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4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4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4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4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4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4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4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4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4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4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4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4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4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4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4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4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4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4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4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4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4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4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4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4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4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4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4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4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4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4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4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4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4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4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4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4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4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4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4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4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4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4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4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4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4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4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4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4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4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4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4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4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4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4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4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4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4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4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4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4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4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4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4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4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4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4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4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4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4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4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4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4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4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4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4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4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4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4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4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4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4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4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4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4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4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4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4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4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4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4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4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4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4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4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4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4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4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4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4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4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4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4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4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4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4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4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4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4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4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4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4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4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4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4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4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4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4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4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4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4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4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4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4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4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4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4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4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4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4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4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4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4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4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4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4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4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4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4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4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4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4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4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4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4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4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4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4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4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4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4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4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4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4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4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4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4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4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4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4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4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4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4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4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4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4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4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4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4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4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4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4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4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4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4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4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4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4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4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4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4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4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4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4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4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4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4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4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4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4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4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4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4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4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4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4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4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4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4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4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4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4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4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4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4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4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4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4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4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4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4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4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4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4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4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4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4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4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4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4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4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4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4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4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4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4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4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4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4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4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4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4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4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4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4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4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4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4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4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4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4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4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4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4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4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4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4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4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4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4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4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4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4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4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4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4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4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4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4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4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4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4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4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4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4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4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4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4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4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4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4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4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4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4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4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4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4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4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4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4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4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4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4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4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4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4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4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4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4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4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4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4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4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4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4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4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4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4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4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4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4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4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4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4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4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4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4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4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4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4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4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4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4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4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4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4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4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4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4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4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4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4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4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4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4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4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4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4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4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4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4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4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4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4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4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4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4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4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4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4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4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4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4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4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4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4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4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4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4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4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4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4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4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4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4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4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4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4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4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4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4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4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4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4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4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4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4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4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4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4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4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4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4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4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4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4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4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4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4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4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4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4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4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4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4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4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4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4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4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4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4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4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4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4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4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4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4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4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4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4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4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4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4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4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4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4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4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4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4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4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4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4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4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4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4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4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4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4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4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4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4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4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4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4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4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4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4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4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4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4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4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4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4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4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4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4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4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4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4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4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4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4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4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4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4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4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4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4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4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4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4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4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4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4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4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4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4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4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4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4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4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4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4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4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4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4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4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4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4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4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4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4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4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4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4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4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4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4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4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4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4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4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4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4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4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4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4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4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4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4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4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4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4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4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4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4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4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4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4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4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4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4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4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4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4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4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4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4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4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4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4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4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4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4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4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4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4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4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4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4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4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4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4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4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4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4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4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4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4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4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4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4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4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4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4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4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4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4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4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4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4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4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4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4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4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4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4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4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4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4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4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4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4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4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4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4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4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4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4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4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4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4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4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4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4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4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4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4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4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4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4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4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4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4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4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4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4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4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4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4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4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4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4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4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4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4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4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4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4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4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4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4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4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4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4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4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4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4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4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4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4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4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4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4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4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4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4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4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4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4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4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4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4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4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4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4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4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4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4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4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4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4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4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4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4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4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4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4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4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4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4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4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4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4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4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4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4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4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4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4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4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4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4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4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4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4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4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4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4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4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4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4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4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4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4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4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4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4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4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4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4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4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4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4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4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4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4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4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4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4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4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4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4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4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4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4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4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4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4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4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4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4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4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4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4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4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4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4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4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4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4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4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4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4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4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4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4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4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4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4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4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4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4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4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4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4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4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4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4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4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4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4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4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4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4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4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4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4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4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4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4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4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4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4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4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4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4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4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4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4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4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4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4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4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4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4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4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4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4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4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4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4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4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4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4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4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4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4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4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4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4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4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4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4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4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4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4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4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4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4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4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4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4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4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4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4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4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4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4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4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4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4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4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4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4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4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4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4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4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4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4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4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4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4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4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4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4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4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4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4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4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4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4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4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4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4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4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4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4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4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4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4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4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4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4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4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4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4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4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4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4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4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4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4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4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4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4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4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4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4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4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4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4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4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4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4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4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4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4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4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4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4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4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4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4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4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4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4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4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4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4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4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4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:G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31.0"/>
  </cols>
  <sheetData>
    <row r="1" ht="38.25" customHeight="1">
      <c r="A1" s="4"/>
      <c r="B1" s="110" t="s">
        <v>160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>
      <c r="A2" s="111"/>
      <c r="B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111"/>
      <c r="B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8.25" customHeight="1">
      <c r="A4" s="111"/>
      <c r="B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8.25" customHeight="1">
      <c r="A5" s="111"/>
      <c r="B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8.25" customHeight="1">
      <c r="A6" s="91"/>
      <c r="B6" s="112" t="s">
        <v>161</v>
      </c>
      <c r="C6" s="69" t="s">
        <v>79</v>
      </c>
      <c r="D6" s="69" t="s">
        <v>92</v>
      </c>
      <c r="E6" s="69" t="s">
        <v>93</v>
      </c>
      <c r="F6" s="69" t="s">
        <v>94</v>
      </c>
      <c r="G6" s="69" t="s">
        <v>95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8.25" customHeight="1">
      <c r="A7" s="95" t="s">
        <v>162</v>
      </c>
      <c r="B7" s="92" t="s">
        <v>163</v>
      </c>
      <c r="C7" s="93">
        <f>'Balance Sheet and Shareholding '!D37</f>
        <v>2500000</v>
      </c>
      <c r="D7" s="93">
        <f t="shared" ref="D7:G7" si="1">C7</f>
        <v>2500000</v>
      </c>
      <c r="E7" s="93">
        <f t="shared" si="1"/>
        <v>2500000</v>
      </c>
      <c r="F7" s="93">
        <f t="shared" si="1"/>
        <v>2500000</v>
      </c>
      <c r="G7" s="93">
        <f t="shared" si="1"/>
        <v>2500000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8.25" customHeight="1">
      <c r="A8" s="95" t="s">
        <v>164</v>
      </c>
      <c r="B8" s="92" t="s">
        <v>165</v>
      </c>
      <c r="C8" s="93">
        <f>(D34+D36)-D35</f>
        <v>1000000</v>
      </c>
      <c r="D8" s="93">
        <f t="shared" ref="D8:G8" si="2">C8</f>
        <v>1000000</v>
      </c>
      <c r="E8" s="93">
        <f t="shared" si="2"/>
        <v>1000000</v>
      </c>
      <c r="F8" s="93">
        <f t="shared" si="2"/>
        <v>1000000</v>
      </c>
      <c r="G8" s="93">
        <f t="shared" si="2"/>
        <v>1000000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8.25" customHeight="1">
      <c r="A9" s="95" t="s">
        <v>166</v>
      </c>
      <c r="B9" s="92" t="s">
        <v>167</v>
      </c>
      <c r="C9" s="76">
        <f>'P&amp;L and PAT Ratio'!D13</f>
        <v>-1540493.077</v>
      </c>
      <c r="D9" s="107">
        <f>'P&amp;L and PAT Ratio'!E13</f>
        <v>722461.9087</v>
      </c>
      <c r="E9" s="107">
        <f>'P&amp;L and PAT Ratio'!F13</f>
        <v>2853198.09</v>
      </c>
      <c r="F9" s="107">
        <f>'P&amp;L and PAT Ratio'!G13</f>
        <v>5851479.789</v>
      </c>
      <c r="G9" s="107">
        <f>'P&amp;L and PAT Ratio'!H13</f>
        <v>8760879.972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8.25" customHeight="1">
      <c r="A10" s="95" t="s">
        <v>168</v>
      </c>
      <c r="B10" s="92" t="s">
        <v>169</v>
      </c>
      <c r="C10" s="93">
        <f t="shared" ref="C10:G10" si="3">C8+C9</f>
        <v>-540493.0767</v>
      </c>
      <c r="D10" s="93">
        <f t="shared" si="3"/>
        <v>1722461.909</v>
      </c>
      <c r="E10" s="93">
        <f t="shared" si="3"/>
        <v>3853198.09</v>
      </c>
      <c r="F10" s="93">
        <f t="shared" si="3"/>
        <v>6851479.789</v>
      </c>
      <c r="G10" s="93">
        <f t="shared" si="3"/>
        <v>9760879.972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8.25" customHeight="1">
      <c r="A11" s="95" t="s">
        <v>170</v>
      </c>
      <c r="B11" s="92" t="s">
        <v>171</v>
      </c>
      <c r="C11" s="93">
        <f t="shared" ref="C11:G11" si="4">C7+C10</f>
        <v>1959506.923</v>
      </c>
      <c r="D11" s="93">
        <f t="shared" si="4"/>
        <v>4222461.909</v>
      </c>
      <c r="E11" s="93">
        <f t="shared" si="4"/>
        <v>6353198.09</v>
      </c>
      <c r="F11" s="93">
        <f t="shared" si="4"/>
        <v>9351479.789</v>
      </c>
      <c r="G11" s="93">
        <f t="shared" si="4"/>
        <v>12260879.97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8.25" customHeight="1">
      <c r="A12" s="91"/>
      <c r="B12" s="92" t="s">
        <v>172</v>
      </c>
      <c r="C12" s="75">
        <v>0.0</v>
      </c>
      <c r="D12" s="75">
        <v>0.0</v>
      </c>
      <c r="E12" s="75">
        <v>0.0</v>
      </c>
      <c r="F12" s="75">
        <v>0.0</v>
      </c>
      <c r="G12" s="75">
        <v>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8.25" customHeight="1">
      <c r="A13" s="91"/>
      <c r="B13" s="96" t="s">
        <v>173</v>
      </c>
      <c r="C13" s="80">
        <f t="shared" ref="C13:G13" si="5">C11+C12</f>
        <v>1959506.923</v>
      </c>
      <c r="D13" s="80">
        <f t="shared" si="5"/>
        <v>4222461.909</v>
      </c>
      <c r="E13" s="80">
        <f t="shared" si="5"/>
        <v>6353198.09</v>
      </c>
      <c r="F13" s="80">
        <f t="shared" si="5"/>
        <v>9351479.789</v>
      </c>
      <c r="G13" s="80">
        <f t="shared" si="5"/>
        <v>12260879.97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8.25" customHeight="1">
      <c r="A14" s="91"/>
      <c r="B14" s="113"/>
      <c r="C14" s="114"/>
      <c r="D14" s="114"/>
      <c r="E14" s="114"/>
      <c r="F14" s="114"/>
      <c r="G14" s="11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8.25" customHeight="1">
      <c r="A15" s="91"/>
      <c r="B15" s="112" t="s">
        <v>174</v>
      </c>
      <c r="C15" s="69" t="s">
        <v>79</v>
      </c>
      <c r="D15" s="69" t="s">
        <v>92</v>
      </c>
      <c r="E15" s="69" t="s">
        <v>93</v>
      </c>
      <c r="F15" s="69" t="s">
        <v>94</v>
      </c>
      <c r="G15" s="69" t="s">
        <v>95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8.25" customHeight="1">
      <c r="A16" s="91"/>
      <c r="B16" s="92" t="s">
        <v>49</v>
      </c>
      <c r="C16" s="115">
        <v>1300000.0</v>
      </c>
      <c r="D16" s="115">
        <f t="shared" ref="D16:E16" si="6">C16</f>
        <v>1300000</v>
      </c>
      <c r="E16" s="115">
        <f t="shared" si="6"/>
        <v>1300000</v>
      </c>
      <c r="F16" s="115">
        <f>E16+'Cost Sheet(Budget Breakdown)'!G33+'Cost Sheet(Budget Breakdown)'!G27+'Cost Sheet(Budget Breakdown)'!G30+'Cost Sheet(Budget Breakdown)'!G31+'Cost Sheet(Budget Breakdown)'!G32</f>
        <v>1468706.667</v>
      </c>
      <c r="G16" s="115">
        <f>F16+'Cost Sheet(Budget Breakdown)'!H33+'Cost Sheet(Budget Breakdown)'!H27+'Cost Sheet(Budget Breakdown)'!H30+'Cost Sheet(Budget Breakdown)'!H31+'Cost Sheet(Budget Breakdown)'!H32</f>
        <v>1468706.667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8.25" customHeight="1">
      <c r="A17" s="91"/>
      <c r="B17" s="92" t="s">
        <v>175</v>
      </c>
      <c r="C17" s="115">
        <f>'P&amp;L and PAT Ratio'!D9</f>
        <v>256956.6667</v>
      </c>
      <c r="D17" s="115">
        <f>C17+'P&amp;L and PAT Ratio'!E9</f>
        <v>513913.3333</v>
      </c>
      <c r="E17" s="115">
        <f>D17+'P&amp;L and PAT Ratio'!F9</f>
        <v>770870</v>
      </c>
      <c r="F17" s="115">
        <f>E17+'P&amp;L and PAT Ratio'!G9</f>
        <v>1027826.667</v>
      </c>
      <c r="G17" s="115">
        <f>F17+'P&amp;L and PAT Ratio'!H9</f>
        <v>1284783.333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8.25" customHeight="1">
      <c r="A18" s="91"/>
      <c r="B18" s="92" t="s">
        <v>176</v>
      </c>
      <c r="C18" s="115">
        <f t="shared" ref="C18:G18" si="7">C16-C17</f>
        <v>1043043.333</v>
      </c>
      <c r="D18" s="115">
        <f t="shared" si="7"/>
        <v>786086.6667</v>
      </c>
      <c r="E18" s="115">
        <f t="shared" si="7"/>
        <v>529130</v>
      </c>
      <c r="F18" s="115">
        <f t="shared" si="7"/>
        <v>440880</v>
      </c>
      <c r="G18" s="115">
        <f t="shared" si="7"/>
        <v>183923.3333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8.25" customHeight="1">
      <c r="A19" s="91"/>
      <c r="B19" s="92" t="s">
        <v>177</v>
      </c>
      <c r="C19" s="115">
        <v>0.0</v>
      </c>
      <c r="D19" s="115">
        <v>0.0</v>
      </c>
      <c r="E19" s="115">
        <v>0.0</v>
      </c>
      <c r="F19" s="115">
        <v>0.0</v>
      </c>
      <c r="G19" s="115">
        <v>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8.25" customHeight="1">
      <c r="A20" s="91"/>
      <c r="B20" s="92" t="s">
        <v>178</v>
      </c>
      <c r="C20" s="115">
        <v>0.0</v>
      </c>
      <c r="D20" s="115">
        <v>0.0</v>
      </c>
      <c r="E20" s="115">
        <v>0.0</v>
      </c>
      <c r="F20" s="115">
        <v>0.0</v>
      </c>
      <c r="G20" s="115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8.25" customHeight="1">
      <c r="A21" s="116"/>
      <c r="B21" s="92" t="s">
        <v>179</v>
      </c>
      <c r="C21" s="117">
        <f>'P&amp;L and PAT Ratio'!D5/365*15</f>
        <v>156410.9589</v>
      </c>
      <c r="D21" s="117">
        <f>'P&amp;L and PAT Ratio'!E5/365*15</f>
        <v>266531.5068</v>
      </c>
      <c r="E21" s="117">
        <f>'P&amp;L and PAT Ratio'!F5/365*15</f>
        <v>386940.8219</v>
      </c>
      <c r="F21" s="117">
        <f>'P&amp;L and PAT Ratio'!G5/365*15</f>
        <v>552904.3562</v>
      </c>
      <c r="G21" s="117">
        <f>'P&amp;L and PAT Ratio'!H5/365*15</f>
        <v>716256.4973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8.25" customHeight="1">
      <c r="A22" s="91"/>
      <c r="B22" s="92" t="s">
        <v>180</v>
      </c>
      <c r="C22" s="115">
        <f t="shared" ref="C22:G22" si="8">C13-(C18+C21)</f>
        <v>760052.6311</v>
      </c>
      <c r="D22" s="115">
        <f t="shared" si="8"/>
        <v>3169843.735</v>
      </c>
      <c r="E22" s="115">
        <f t="shared" si="8"/>
        <v>5437127.268</v>
      </c>
      <c r="F22" s="115">
        <f t="shared" si="8"/>
        <v>8357695.432</v>
      </c>
      <c r="G22" s="115">
        <f t="shared" si="8"/>
        <v>11360700.14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8.25" customHeight="1">
      <c r="A23" s="91"/>
      <c r="B23" s="96" t="s">
        <v>181</v>
      </c>
      <c r="C23" s="118">
        <f t="shared" ref="C23:G23" si="9">SUM(C18:C22)</f>
        <v>1959506.923</v>
      </c>
      <c r="D23" s="118">
        <f t="shared" si="9"/>
        <v>4222461.909</v>
      </c>
      <c r="E23" s="118">
        <f t="shared" si="9"/>
        <v>6353198.09</v>
      </c>
      <c r="F23" s="118">
        <f t="shared" si="9"/>
        <v>9351479.789</v>
      </c>
      <c r="G23" s="118">
        <f t="shared" si="9"/>
        <v>12260879.97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8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8.25" customHeight="1">
      <c r="A25" s="4"/>
      <c r="B25" s="9" t="s">
        <v>182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8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8.25" customHeight="1">
      <c r="A27" s="4"/>
      <c r="B27" s="9" t="s">
        <v>183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8.25" customHeight="1">
      <c r="A28" s="4"/>
      <c r="B28" s="119" t="s">
        <v>184</v>
      </c>
      <c r="C28" s="70" t="s">
        <v>185</v>
      </c>
      <c r="D28" s="70" t="s">
        <v>186</v>
      </c>
      <c r="E28" s="70" t="s">
        <v>187</v>
      </c>
      <c r="F28" s="70" t="s">
        <v>188</v>
      </c>
      <c r="G28" s="69" t="s">
        <v>189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8.25" customHeight="1">
      <c r="A29" s="4"/>
      <c r="B29" s="119" t="s">
        <v>190</v>
      </c>
      <c r="C29" s="120">
        <v>4.0</v>
      </c>
      <c r="D29" s="93">
        <v>1680000.0</v>
      </c>
      <c r="E29" s="93">
        <v>10.0</v>
      </c>
      <c r="F29" s="120">
        <f t="shared" ref="F29:F30" si="10">D29/E29</f>
        <v>168000</v>
      </c>
      <c r="G29" s="121">
        <f>F29/F31</f>
        <v>0.96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8.25" customHeight="1">
      <c r="A30" s="4"/>
      <c r="B30" s="92" t="s">
        <v>191</v>
      </c>
      <c r="C30" s="120">
        <v>5.0</v>
      </c>
      <c r="D30" s="93">
        <f>70000</f>
        <v>70000</v>
      </c>
      <c r="E30" s="93">
        <v>10.0</v>
      </c>
      <c r="F30" s="120">
        <f t="shared" si="10"/>
        <v>7000</v>
      </c>
      <c r="G30" s="122">
        <f>F30/F31</f>
        <v>0.04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8.25" customHeight="1">
      <c r="A31" s="4"/>
      <c r="B31" s="96" t="s">
        <v>23</v>
      </c>
      <c r="C31" s="123">
        <f>SUM(C29:C30)</f>
        <v>9</v>
      </c>
      <c r="D31" s="97">
        <f>F31*E31</f>
        <v>1750000</v>
      </c>
      <c r="E31" s="97">
        <v>10.0</v>
      </c>
      <c r="F31" s="123">
        <f>SUM(F29:F30)</f>
        <v>175000</v>
      </c>
      <c r="G31" s="124">
        <v>1.0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8.25" customHeight="1">
      <c r="A32" s="4"/>
      <c r="B32" s="9" t="s">
        <v>192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8.25" customHeight="1">
      <c r="A33" s="4"/>
      <c r="B33" s="119" t="s">
        <v>184</v>
      </c>
      <c r="C33" s="70" t="s">
        <v>185</v>
      </c>
      <c r="D33" s="70" t="s">
        <v>186</v>
      </c>
      <c r="E33" s="70" t="s">
        <v>187</v>
      </c>
      <c r="F33" s="70" t="s">
        <v>188</v>
      </c>
      <c r="G33" s="69" t="s">
        <v>189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8.25" customHeight="1">
      <c r="A34" s="4"/>
      <c r="B34" s="119" t="s">
        <v>190</v>
      </c>
      <c r="C34" s="120">
        <v>4.0</v>
      </c>
      <c r="D34" s="125">
        <v>1650000.0</v>
      </c>
      <c r="E34" s="93">
        <v>10.0</v>
      </c>
      <c r="F34" s="120">
        <f t="shared" ref="F34:F36" si="11">D34/E34</f>
        <v>165000</v>
      </c>
      <c r="G34" s="121">
        <f>165000/350000</f>
        <v>0.4714285714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8.25" customHeight="1">
      <c r="A35" s="4"/>
      <c r="B35" s="92" t="s">
        <v>193</v>
      </c>
      <c r="C35" s="120">
        <v>1.0</v>
      </c>
      <c r="D35" s="93">
        <f>750000</f>
        <v>750000</v>
      </c>
      <c r="E35" s="93">
        <v>10.0</v>
      </c>
      <c r="F35" s="120">
        <f t="shared" si="11"/>
        <v>75000</v>
      </c>
      <c r="G35" s="121">
        <f>F35/F37</f>
        <v>0.3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8.25" customHeight="1">
      <c r="A36" s="4"/>
      <c r="B36" s="92" t="s">
        <v>191</v>
      </c>
      <c r="C36" s="120">
        <v>5.0</v>
      </c>
      <c r="D36" s="93">
        <f>100000</f>
        <v>100000</v>
      </c>
      <c r="E36" s="93">
        <v>10.0</v>
      </c>
      <c r="F36" s="120">
        <f t="shared" si="11"/>
        <v>10000</v>
      </c>
      <c r="G36" s="122">
        <f>F36/F37</f>
        <v>0.04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8.25" customHeight="1">
      <c r="A37" s="4"/>
      <c r="B37" s="96" t="s">
        <v>23</v>
      </c>
      <c r="C37" s="123">
        <f>SUM(C34:C36)</f>
        <v>10</v>
      </c>
      <c r="D37" s="97">
        <f>F37*E37</f>
        <v>2500000</v>
      </c>
      <c r="E37" s="97">
        <v>10.0</v>
      </c>
      <c r="F37" s="123">
        <f>SUM(F34:F36)</f>
        <v>250000</v>
      </c>
      <c r="G37" s="124">
        <v>1.0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8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8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8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8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8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8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8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8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8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8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8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8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8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8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8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8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8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8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8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8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8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8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8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8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8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8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8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8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8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8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8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8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8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8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8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8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8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8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8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8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8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8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8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8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8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8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8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8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8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8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8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8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8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8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8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8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8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8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8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8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8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8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8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8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8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8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8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8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8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8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8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8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8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8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8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8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8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8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8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8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8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8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8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8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8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8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8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8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8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8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8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8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8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8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8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8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8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8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8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8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8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8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8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8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8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8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8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8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8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8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8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8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8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8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8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8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8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8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8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8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8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8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8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8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8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8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8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8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8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8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8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8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8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8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8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8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8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8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8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8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8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8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8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8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8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8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8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8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8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8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8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8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8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8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8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8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8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8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8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8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8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8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8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8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8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8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8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8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8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8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8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8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8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8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8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8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8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8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8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8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8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8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8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8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8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8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8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8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8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8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8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8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8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8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8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8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8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8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8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8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8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8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8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8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8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8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8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8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8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8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8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8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8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8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8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8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8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8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8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8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8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8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8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8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8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8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8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8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8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8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8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8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8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8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8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8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8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8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8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8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8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8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8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8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8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8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8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8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8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8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8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8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8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8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8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8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8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8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8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8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8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8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8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8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8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8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8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8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8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8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8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8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8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8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8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8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8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8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8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8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8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8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8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8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8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8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8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8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8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8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8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8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8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8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8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8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8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8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8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8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8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8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8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8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8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8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8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8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8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8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8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8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8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8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8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8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8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8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8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8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8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8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8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8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8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8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8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8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8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8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8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8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8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8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8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8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8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8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8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8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8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8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8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8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8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8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8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8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8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8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8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8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8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8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8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8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8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8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8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8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8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8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8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8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8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8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8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8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8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8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8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8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8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8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8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8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8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8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8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8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8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8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8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8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8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8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8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8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8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8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8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8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8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8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8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8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8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8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8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8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8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8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8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8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8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8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8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8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8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8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8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8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8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8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8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8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8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8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8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8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8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8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8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8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8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8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8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8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8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8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8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8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8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8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8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8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8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8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8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8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8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8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8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8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8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8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8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8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8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8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8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8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8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8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8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8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8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8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8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8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8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8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8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8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8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8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8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8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8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8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8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8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8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8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8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8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8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8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8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8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8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8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8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8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8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8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8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8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8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8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8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8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8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8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8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8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8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8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8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8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8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8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8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8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8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8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8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8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8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8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8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8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8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8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8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8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8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8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8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8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8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8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8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8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8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8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8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8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8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8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8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8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8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8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8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8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8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8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8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8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8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8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8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8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8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8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8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8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8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8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8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8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8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8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8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8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8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8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8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8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8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8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8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8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8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8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8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8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8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8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8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8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8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8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8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8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8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8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8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8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8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8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8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8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8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8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8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8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8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8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8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8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8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8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8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8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8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8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8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8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8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8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8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8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8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8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8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8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8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8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8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8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8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8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8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8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8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8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8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8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8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8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8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8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8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8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8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8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8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8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8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8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8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8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8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8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8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8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8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8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8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8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8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8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8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8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8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8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8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8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8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8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8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8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8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8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8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8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8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8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8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8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8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8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8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8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8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8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8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8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8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8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8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8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8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8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8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8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8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8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8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8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8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8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8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8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8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8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8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8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8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8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8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8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8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8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8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8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8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8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8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8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8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8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8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8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8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8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8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8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8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8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8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8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8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8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8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8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8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8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8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8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8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8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8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8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8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8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8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8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8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8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8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8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8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8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8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8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8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8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8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8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8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8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8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8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8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8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8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8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8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8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8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8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8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8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8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8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8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8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8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8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8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8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8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8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8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8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8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8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8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8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8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8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8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8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8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8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8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8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8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8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8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8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8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8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8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8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8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8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8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8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8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8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8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8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8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8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8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8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8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8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8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8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8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8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8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8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8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8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8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8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8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8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8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8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8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8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8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8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8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8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8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8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8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8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8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8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8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8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8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8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8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8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8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8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8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8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8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8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8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8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8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8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8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8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8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8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8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8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8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8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8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8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8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8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8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8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8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8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8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8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8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8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8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8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8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8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8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8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8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8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8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8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8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8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8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8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8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8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8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8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8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8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8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8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8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8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8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8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8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8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8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8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8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8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8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8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8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8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8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8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8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8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8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8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8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8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8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8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8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8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8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8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8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8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8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8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8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8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8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8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8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8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8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8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8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8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8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8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8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8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8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8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8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8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8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8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8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8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8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8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8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8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8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8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8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8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8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8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8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8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8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8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mergeCells count="1">
    <mergeCell ref="B1:G5"/>
  </mergeCells>
  <conditionalFormatting sqref="A2">
    <cfRule type="colorScale" priority="1">
      <colorScale>
        <cfvo type="percent" val="70"/>
        <cfvo type="formula" val="25"/>
        <cfvo type="formula" val="5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28.13"/>
  </cols>
  <sheetData>
    <row r="1" ht="41.25" customHeight="1">
      <c r="A1" s="4"/>
      <c r="B1" s="86" t="s">
        <v>194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1.25" customHeight="1">
      <c r="A2" s="4"/>
      <c r="B2" s="6"/>
      <c r="H2" s="126"/>
      <c r="I2" s="12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1.25" customHeight="1">
      <c r="A3" s="4"/>
      <c r="B3" s="6"/>
      <c r="H3" s="126"/>
      <c r="I3" s="12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1.25" customHeight="1">
      <c r="A4" s="4"/>
      <c r="B4" s="6"/>
      <c r="H4" s="126"/>
      <c r="I4" s="12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1.25" customHeight="1">
      <c r="A5" s="4"/>
      <c r="B5" s="119" t="s">
        <v>195</v>
      </c>
      <c r="C5" s="69" t="s">
        <v>79</v>
      </c>
      <c r="D5" s="69" t="s">
        <v>92</v>
      </c>
      <c r="E5" s="69" t="s">
        <v>93</v>
      </c>
      <c r="F5" s="69" t="s">
        <v>94</v>
      </c>
      <c r="G5" s="69" t="s">
        <v>95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1.25" customHeight="1">
      <c r="A6" s="4"/>
      <c r="B6" s="127" t="s">
        <v>196</v>
      </c>
      <c r="C6" s="73"/>
      <c r="D6" s="73"/>
      <c r="E6" s="73"/>
      <c r="F6" s="73"/>
      <c r="G6" s="7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1.25" customHeight="1">
      <c r="A7" s="4"/>
      <c r="B7" s="92" t="s">
        <v>197</v>
      </c>
      <c r="C7" s="93">
        <f>'P&amp;L and PAT Ratio'!D7</f>
        <v>-1348286.41</v>
      </c>
      <c r="D7" s="93">
        <f>'P&amp;L and PAT Ratio'!E7</f>
        <v>1019884.949</v>
      </c>
      <c r="E7" s="93">
        <f>'P&amp;L and PAT Ratio'!F7</f>
        <v>3611923.444</v>
      </c>
      <c r="F7" s="93">
        <f>'P&amp;L and PAT Ratio'!G7</f>
        <v>7266005.788</v>
      </c>
      <c r="G7" s="93">
        <f>'P&amp;L and PAT Ratio'!H7</f>
        <v>10833357.87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1.25" customHeight="1">
      <c r="A8" s="4"/>
      <c r="B8" s="92" t="s">
        <v>198</v>
      </c>
      <c r="C8" s="93">
        <f>'P&amp;L and PAT Ratio'!D9</f>
        <v>256956.6667</v>
      </c>
      <c r="D8" s="93">
        <f>'P&amp;L and PAT Ratio'!E9</f>
        <v>256956.6667</v>
      </c>
      <c r="E8" s="93">
        <f>'P&amp;L and PAT Ratio'!F9</f>
        <v>256956.6667</v>
      </c>
      <c r="F8" s="93">
        <f>'P&amp;L and PAT Ratio'!G9</f>
        <v>256956.6667</v>
      </c>
      <c r="G8" s="93">
        <f>'P&amp;L and PAT Ratio'!H9</f>
        <v>256956.6667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1.25" customHeight="1">
      <c r="A9" s="4"/>
      <c r="B9" s="92" t="s">
        <v>199</v>
      </c>
      <c r="C9" s="93">
        <f t="shared" ref="C9:G9" si="1">SUM(C7:C8)</f>
        <v>-1091329.743</v>
      </c>
      <c r="D9" s="93">
        <f t="shared" si="1"/>
        <v>1276841.616</v>
      </c>
      <c r="E9" s="93">
        <f t="shared" si="1"/>
        <v>3868880.111</v>
      </c>
      <c r="F9" s="93">
        <f t="shared" si="1"/>
        <v>7522962.455</v>
      </c>
      <c r="G9" s="93">
        <f t="shared" si="1"/>
        <v>11090314.53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1.25" customHeight="1">
      <c r="A10" s="4"/>
      <c r="B10" s="92" t="s">
        <v>200</v>
      </c>
      <c r="C10" s="128">
        <f>'Balance Sheet and Shareholding '!C21</f>
        <v>156410.9589</v>
      </c>
      <c r="D10" s="128">
        <f>'Balance Sheet and Shareholding '!D21-'Balance Sheet and Shareholding '!C21</f>
        <v>110120.5479</v>
      </c>
      <c r="E10" s="128">
        <f>'Balance Sheet and Shareholding '!E21-'Balance Sheet and Shareholding '!D21</f>
        <v>120409.3151</v>
      </c>
      <c r="F10" s="128">
        <f>'Balance Sheet and Shareholding '!F21-'Balance Sheet and Shareholding '!E21</f>
        <v>165963.5342</v>
      </c>
      <c r="G10" s="128">
        <f>'Balance Sheet and Shareholding '!G21-'Balance Sheet and Shareholding '!F21</f>
        <v>163352.1411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1.25" customHeight="1">
      <c r="A11" s="4"/>
      <c r="B11" s="119" t="s">
        <v>201</v>
      </c>
      <c r="C11" s="93">
        <f t="shared" ref="C11:G11" si="2">C9-C10</f>
        <v>-1247740.702</v>
      </c>
      <c r="D11" s="93">
        <f t="shared" si="2"/>
        <v>1166721.068</v>
      </c>
      <c r="E11" s="93">
        <f t="shared" si="2"/>
        <v>3748470.795</v>
      </c>
      <c r="F11" s="93">
        <f t="shared" si="2"/>
        <v>7356998.921</v>
      </c>
      <c r="G11" s="93">
        <f t="shared" si="2"/>
        <v>10926962.39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1.25" customHeight="1">
      <c r="A12" s="4"/>
      <c r="B12" s="92" t="s">
        <v>202</v>
      </c>
      <c r="C12" s="93">
        <f>'P&amp;L and PAT Ratio'!D12</f>
        <v>0</v>
      </c>
      <c r="D12" s="93">
        <f>'P&amp;L and PAT Ratio'!E12</f>
        <v>169466.3736</v>
      </c>
      <c r="E12" s="93">
        <f>'P&amp;L and PAT Ratio'!F12</f>
        <v>669268.6877</v>
      </c>
      <c r="F12" s="93">
        <f>'P&amp;L and PAT Ratio'!G12</f>
        <v>1372569.333</v>
      </c>
      <c r="G12" s="93">
        <f>'P&amp;L and PAT Ratio'!H12</f>
        <v>2055021.228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1.25" customHeight="1">
      <c r="A13" s="4"/>
      <c r="B13" s="119" t="s">
        <v>203</v>
      </c>
      <c r="C13" s="129">
        <f t="shared" ref="C13:G13" si="3">C11-C12</f>
        <v>-1247740.702</v>
      </c>
      <c r="D13" s="129">
        <f t="shared" si="3"/>
        <v>997254.6941</v>
      </c>
      <c r="E13" s="129">
        <f t="shared" si="3"/>
        <v>3079202.108</v>
      </c>
      <c r="F13" s="129">
        <f t="shared" si="3"/>
        <v>5984429.588</v>
      </c>
      <c r="G13" s="129">
        <f t="shared" si="3"/>
        <v>8871941.165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1.25" customHeight="1">
      <c r="A14" s="4"/>
      <c r="B14" s="127" t="s">
        <v>204</v>
      </c>
      <c r="C14" s="73"/>
      <c r="D14" s="73"/>
      <c r="E14" s="73"/>
      <c r="F14" s="73"/>
      <c r="G14" s="7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1.25" customHeight="1">
      <c r="A15" s="4"/>
      <c r="B15" s="130" t="s">
        <v>49</v>
      </c>
      <c r="C15" s="131">
        <f>'Balance Sheet and Shareholding '!C16</f>
        <v>1300000</v>
      </c>
      <c r="D15" s="131">
        <f>'Balance Sheet and Shareholding '!D16</f>
        <v>1300000</v>
      </c>
      <c r="E15" s="131">
        <f>'Balance Sheet and Shareholding '!E16</f>
        <v>1300000</v>
      </c>
      <c r="F15" s="131">
        <f>'Balance Sheet and Shareholding '!F16</f>
        <v>1468706.667</v>
      </c>
      <c r="G15" s="131">
        <f>'Balance Sheet and Shareholding '!G16</f>
        <v>1468706.667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1.25" customHeight="1">
      <c r="A16" s="4"/>
      <c r="B16" s="132" t="s">
        <v>205</v>
      </c>
      <c r="C16" s="73"/>
      <c r="D16" s="73"/>
      <c r="E16" s="73"/>
      <c r="F16" s="73"/>
      <c r="G16" s="7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1.25" customHeight="1">
      <c r="A17" s="4"/>
      <c r="B17" s="130" t="s">
        <v>206</v>
      </c>
      <c r="C17" s="133">
        <f>('Balance Sheet and Shareholding '!D34+'Balance Sheet and Shareholding '!D36)*2</f>
        <v>3500000</v>
      </c>
      <c r="D17" s="133">
        <v>0.0</v>
      </c>
      <c r="E17" s="133">
        <v>0.0</v>
      </c>
      <c r="F17" s="133">
        <v>0.0</v>
      </c>
      <c r="G17" s="133">
        <v>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1.25" customHeight="1">
      <c r="A18" s="4"/>
      <c r="B18" s="134" t="s">
        <v>207</v>
      </c>
      <c r="C18" s="131">
        <f t="shared" ref="C18:G18" si="4">C13-(C15+C17)</f>
        <v>-6047740.702</v>
      </c>
      <c r="D18" s="131">
        <f t="shared" si="4"/>
        <v>-302745.3059</v>
      </c>
      <c r="E18" s="131">
        <f t="shared" si="4"/>
        <v>1779202.108</v>
      </c>
      <c r="F18" s="131">
        <f t="shared" si="4"/>
        <v>4515722.921</v>
      </c>
      <c r="G18" s="131">
        <f t="shared" si="4"/>
        <v>7403234.498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1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1.25" customHeight="1">
      <c r="A20" s="4"/>
      <c r="B20" s="135" t="s">
        <v>208</v>
      </c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1.25" customHeight="1">
      <c r="A21" s="4"/>
      <c r="B21" s="6"/>
      <c r="G21" s="4"/>
      <c r="H21" s="4"/>
      <c r="I21" s="4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1.25" customHeight="1">
      <c r="A22" s="4"/>
      <c r="B22" s="91"/>
      <c r="C22" s="5"/>
      <c r="D22" s="5"/>
      <c r="E22" s="5"/>
      <c r="F22" s="5"/>
      <c r="G22" s="5"/>
      <c r="H22" s="5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1.25" customHeight="1">
      <c r="A23" s="4"/>
      <c r="B23" s="119" t="s">
        <v>195</v>
      </c>
      <c r="C23" s="69" t="s">
        <v>79</v>
      </c>
      <c r="D23" s="69" t="s">
        <v>92</v>
      </c>
      <c r="E23" s="69" t="s">
        <v>93</v>
      </c>
      <c r="F23" s="69" t="s">
        <v>94</v>
      </c>
      <c r="G23" s="69" t="s">
        <v>95</v>
      </c>
      <c r="H23" s="136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1.25" customHeight="1">
      <c r="A24" s="4"/>
      <c r="B24" s="92" t="s">
        <v>209</v>
      </c>
      <c r="C24" s="120">
        <f>'P&amp;L and PAT Ratio'!D11</f>
        <v>-1540493.077</v>
      </c>
      <c r="D24" s="120">
        <f>'P&amp;L and PAT Ratio'!E11</f>
        <v>891928.2823</v>
      </c>
      <c r="E24" s="120">
        <f>'P&amp;L and PAT Ratio'!F11</f>
        <v>3522466.777</v>
      </c>
      <c r="F24" s="120">
        <f>'P&amp;L and PAT Ratio'!G11</f>
        <v>7224049.122</v>
      </c>
      <c r="G24" s="120">
        <f>'P&amp;L and PAT Ratio'!H11</f>
        <v>10815901.2</v>
      </c>
      <c r="H24" s="59" t="s">
        <v>210</v>
      </c>
      <c r="I24" s="58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1.25" customHeight="1">
      <c r="A25" s="4"/>
      <c r="B25" s="92" t="s">
        <v>211</v>
      </c>
      <c r="C25" s="120">
        <f>'P&amp;L and PAT Ratio'!D12</f>
        <v>0</v>
      </c>
      <c r="D25" s="120">
        <f>'P&amp;L and PAT Ratio'!E12</f>
        <v>169466.3736</v>
      </c>
      <c r="E25" s="120">
        <f>'P&amp;L and PAT Ratio'!F12</f>
        <v>669268.6877</v>
      </c>
      <c r="F25" s="120">
        <f>'P&amp;L and PAT Ratio'!G12</f>
        <v>1372569.333</v>
      </c>
      <c r="G25" s="120">
        <f>'P&amp;L and PAT Ratio'!H12</f>
        <v>2055021.228</v>
      </c>
      <c r="H25" s="59" t="s">
        <v>212</v>
      </c>
      <c r="I25" s="58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1.25" customHeight="1">
      <c r="A26" s="4"/>
      <c r="B26" s="92" t="s">
        <v>213</v>
      </c>
      <c r="C26" s="120">
        <f t="shared" ref="C26:G26" si="5">C24-C25</f>
        <v>-1540493.077</v>
      </c>
      <c r="D26" s="120">
        <f t="shared" si="5"/>
        <v>722461.9087</v>
      </c>
      <c r="E26" s="120">
        <f t="shared" si="5"/>
        <v>2853198.09</v>
      </c>
      <c r="F26" s="120">
        <f t="shared" si="5"/>
        <v>5851479.789</v>
      </c>
      <c r="G26" s="120">
        <f t="shared" si="5"/>
        <v>8760879.972</v>
      </c>
      <c r="H26" s="59" t="s">
        <v>214</v>
      </c>
      <c r="I26" s="58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1.25" customHeight="1">
      <c r="A27" s="4"/>
      <c r="B27" s="92" t="s">
        <v>198</v>
      </c>
      <c r="C27" s="120">
        <f>'P&amp;L and PAT Ratio'!D9</f>
        <v>256956.6667</v>
      </c>
      <c r="D27" s="120">
        <f>'P&amp;L and PAT Ratio'!E9</f>
        <v>256956.6667</v>
      </c>
      <c r="E27" s="120">
        <f>'P&amp;L and PAT Ratio'!F9</f>
        <v>256956.6667</v>
      </c>
      <c r="F27" s="120">
        <f>'P&amp;L and PAT Ratio'!G9</f>
        <v>256956.6667</v>
      </c>
      <c r="G27" s="120">
        <f>'P&amp;L and PAT Ratio'!H9</f>
        <v>256956.6667</v>
      </c>
      <c r="H27" s="59"/>
      <c r="I27" s="58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1.25" customHeight="1">
      <c r="A28" s="4"/>
      <c r="B28" s="92" t="s">
        <v>215</v>
      </c>
      <c r="C28" s="120">
        <f>'Balance Sheet and Shareholding '!C16</f>
        <v>1300000</v>
      </c>
      <c r="D28" s="137">
        <v>0.0</v>
      </c>
      <c r="E28" s="137">
        <v>0.0</v>
      </c>
      <c r="F28" s="137">
        <v>0.0</v>
      </c>
      <c r="G28" s="137">
        <v>0.0</v>
      </c>
      <c r="H28" s="59" t="s">
        <v>216</v>
      </c>
      <c r="I28" s="58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1.25" customHeight="1">
      <c r="A29" s="4"/>
      <c r="B29" s="92" t="s">
        <v>217</v>
      </c>
      <c r="C29" s="120">
        <f>'Balance Sheet and Shareholding '!C21</f>
        <v>156410.9589</v>
      </c>
      <c r="D29" s="137">
        <f>'Balance Sheet and Shareholding '!D21-'Balance Sheet and Shareholding '!C21</f>
        <v>110120.5479</v>
      </c>
      <c r="E29" s="137">
        <f>'Balance Sheet and Shareholding '!E21-'Balance Sheet and Shareholding '!D21</f>
        <v>120409.3151</v>
      </c>
      <c r="F29" s="137">
        <f>'Balance Sheet and Shareholding '!F21-'Balance Sheet and Shareholding '!E21</f>
        <v>165963.5342</v>
      </c>
      <c r="G29" s="137">
        <f>'Balance Sheet and Shareholding '!G21-'Balance Sheet and Shareholding '!F21</f>
        <v>163352.1411</v>
      </c>
      <c r="H29" s="4"/>
      <c r="I29" s="4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1.25" customHeight="1">
      <c r="A30" s="4"/>
      <c r="B30" s="92" t="s">
        <v>218</v>
      </c>
      <c r="C30" s="123">
        <f t="shared" ref="C30:G30" si="6">C26+C27-(C28+C29)</f>
        <v>-2739947.369</v>
      </c>
      <c r="D30" s="123">
        <f t="shared" si="6"/>
        <v>869298.0274</v>
      </c>
      <c r="E30" s="123">
        <f t="shared" si="6"/>
        <v>2989745.441</v>
      </c>
      <c r="F30" s="123">
        <f t="shared" si="6"/>
        <v>5942472.921</v>
      </c>
      <c r="G30" s="123">
        <f t="shared" si="6"/>
        <v>8854484.498</v>
      </c>
      <c r="H30" s="5"/>
      <c r="I30" s="2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1.25" customHeight="1">
      <c r="A31" s="4"/>
      <c r="B31" s="92" t="s">
        <v>219</v>
      </c>
      <c r="C31" s="138">
        <f t="shared" ref="C31:G31" si="7">1/(1+$C$33)^(COUNTA($C$23:C23))</f>
        <v>0.8</v>
      </c>
      <c r="D31" s="138">
        <f t="shared" si="7"/>
        <v>0.64</v>
      </c>
      <c r="E31" s="138">
        <f t="shared" si="7"/>
        <v>0.512</v>
      </c>
      <c r="F31" s="138">
        <f t="shared" si="7"/>
        <v>0.4096</v>
      </c>
      <c r="G31" s="138">
        <f t="shared" si="7"/>
        <v>0.32768</v>
      </c>
      <c r="H31" s="139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1.25" customHeight="1">
      <c r="A32" s="4"/>
      <c r="B32" s="92" t="s">
        <v>220</v>
      </c>
      <c r="C32" s="123">
        <f t="shared" ref="C32:G32" si="8">C30*C31</f>
        <v>-2191957.895</v>
      </c>
      <c r="D32" s="123">
        <f t="shared" si="8"/>
        <v>556350.7375</v>
      </c>
      <c r="E32" s="123">
        <f t="shared" si="8"/>
        <v>1530749.666</v>
      </c>
      <c r="F32" s="123">
        <f t="shared" si="8"/>
        <v>2434036.908</v>
      </c>
      <c r="G32" s="123">
        <f t="shared" si="8"/>
        <v>2901437.48</v>
      </c>
      <c r="H32" s="4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1.25" customHeight="1">
      <c r="A33" s="4"/>
      <c r="B33" s="112" t="s">
        <v>221</v>
      </c>
      <c r="C33" s="140">
        <v>0.25</v>
      </c>
      <c r="D33" s="141" t="s">
        <v>222</v>
      </c>
      <c r="E33" s="142">
        <f>G30*(1+$C$34)/($C$33-$C$34)</f>
        <v>43850780.37</v>
      </c>
      <c r="F33" s="143" t="s">
        <v>223</v>
      </c>
      <c r="G33" s="142">
        <f>SUM(C32:G32)</f>
        <v>5230616.897</v>
      </c>
      <c r="H33" s="4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1.25" customHeight="1">
      <c r="A34" s="4"/>
      <c r="B34" s="112" t="s">
        <v>224</v>
      </c>
      <c r="C34" s="140">
        <v>0.04</v>
      </c>
      <c r="D34" s="141" t="s">
        <v>225</v>
      </c>
      <c r="E34" s="142">
        <f>E33*0.262</f>
        <v>11488904.46</v>
      </c>
      <c r="F34" s="143" t="s">
        <v>226</v>
      </c>
      <c r="G34" s="142">
        <f>SUM(C32:G32)+E34</f>
        <v>16719521.35</v>
      </c>
      <c r="H34" s="4"/>
      <c r="I34" s="144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1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1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1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1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1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1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1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41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1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1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1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1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1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1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41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41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1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1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41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1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1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1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4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4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4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4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4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4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4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4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4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4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4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4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4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4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4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4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4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4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4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4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4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4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4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4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4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4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4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4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4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4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4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4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4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4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4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4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4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4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4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4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4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4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4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4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4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4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4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4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4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4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4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4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4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4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4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4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4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4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4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4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4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4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4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4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4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4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4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4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4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4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4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4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4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4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4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4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4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4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4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4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4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4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4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4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4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4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4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4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4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4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4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4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4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4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4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4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4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4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4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4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4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4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4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4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4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4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4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4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4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4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4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4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4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4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4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4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4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4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4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4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4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4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4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4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4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4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4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4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4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4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4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4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4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4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4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4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4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4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4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4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4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4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4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4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4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4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4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4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4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4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4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4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4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4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4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4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4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4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4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4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4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4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4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4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4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4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4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4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4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4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4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4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4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4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4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4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4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4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4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4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4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4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4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4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4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4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4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4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4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4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4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4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4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4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4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4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4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4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4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4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4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4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4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4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4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4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4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4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4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4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4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4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4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4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4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4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4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4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4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4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4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4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4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4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4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4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4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4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4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4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4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4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4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4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4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4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4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4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4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4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4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4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4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4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4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4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4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4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4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4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4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4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4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4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4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4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4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4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4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4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4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4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4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4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4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4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4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4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4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4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4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4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4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4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4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4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4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4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4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4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4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4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4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4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4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4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4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4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4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4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4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4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4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4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4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4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4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4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4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4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4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4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4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4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4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4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4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4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4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4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4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4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4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4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4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4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4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4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4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4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4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4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4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4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4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4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4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4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4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4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4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4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4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4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4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4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4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4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4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4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4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4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4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4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4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4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4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4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4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4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4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4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4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4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4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4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4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4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4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4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4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4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4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4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4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4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4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4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4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4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4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4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4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4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4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4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4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4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4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4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4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4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4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4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4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4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4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4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4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4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4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4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4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4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4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4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4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4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4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4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4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4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4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4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4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4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4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4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4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4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4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4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4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4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4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4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4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4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4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4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4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4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4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4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4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4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4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4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4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4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4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4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4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4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4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4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4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4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4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4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4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4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4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4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4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4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4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4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4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4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4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4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4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4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4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4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4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4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4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4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4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4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4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4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4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4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4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4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4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4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4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4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4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4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4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4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4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4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4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4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4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4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4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4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4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4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4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4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4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4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4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4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4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4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4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4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4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4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4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4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4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4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4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4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4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4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4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4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4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4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4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4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4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4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4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4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4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4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4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4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4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4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4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4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4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4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4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4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4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4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4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4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4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4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4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4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4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4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4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4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4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4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4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4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4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4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4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4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4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4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4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4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4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4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4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4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4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4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4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4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4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4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4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4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4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4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4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4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4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4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4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4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4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4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4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4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4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4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4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4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4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4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4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4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4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4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4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4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4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4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4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4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4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4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4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4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4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4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4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4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4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4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4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4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4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4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4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4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4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4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4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4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4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4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4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4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4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4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4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4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4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4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4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4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4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4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4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4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4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4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4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4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4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4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4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4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4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4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4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4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4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4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4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4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4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4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4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4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4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4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4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4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4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4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4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4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4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4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4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4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4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4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4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4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4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4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4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4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4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4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4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4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4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4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4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4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4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4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4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4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4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4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4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4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4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4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4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4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4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4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4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4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4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4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4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4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4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4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4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4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4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4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4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4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4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4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4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4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4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4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4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4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4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4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4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4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4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4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4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4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4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4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4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4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4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4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4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4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4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4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4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4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4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4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4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4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4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4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4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4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4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4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4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4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4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4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4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4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4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4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4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4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4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4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4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4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4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4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4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4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4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4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4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4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4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4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4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4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4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4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4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4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4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4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4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4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4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4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4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4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4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4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4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4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4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4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4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4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4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4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4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4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4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4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4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4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4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4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4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4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4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4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4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4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4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4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4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4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4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4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4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4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4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4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4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4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4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4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4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4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4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4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4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4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4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4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4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4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4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4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4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4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4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4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4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4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4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4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4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4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4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4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4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4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4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4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4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4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4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4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4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4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4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4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4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4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4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4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4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4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4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4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4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4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4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4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4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4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4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4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4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4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4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4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4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4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4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4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4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4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4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4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4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4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4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4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4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4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4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4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4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4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4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4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4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4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4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4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4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4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4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4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4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4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4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4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4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4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4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4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4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4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4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4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4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1:G4"/>
    <mergeCell ref="B6:G6"/>
    <mergeCell ref="B14:G14"/>
    <mergeCell ref="B16:G16"/>
    <mergeCell ref="B20:F2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88"/>
    <col customWidth="1" min="2" max="2" width="54.75"/>
    <col customWidth="1" min="3" max="26" width="137.63"/>
  </cols>
  <sheetData>
    <row r="1" ht="45.75" customHeight="1">
      <c r="A1" s="145" t="s">
        <v>227</v>
      </c>
      <c r="B1" s="145" t="s">
        <v>228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5.75" customHeight="1">
      <c r="A2" s="146" t="s">
        <v>229</v>
      </c>
      <c r="B2" s="147" t="s">
        <v>230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46" t="s">
        <v>231</v>
      </c>
      <c r="B3" s="147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5.75" customHeight="1">
      <c r="A4" s="148" t="s">
        <v>232</v>
      </c>
      <c r="B4" s="147" t="s">
        <v>233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5.75" customHeight="1">
      <c r="A5" s="148" t="s">
        <v>234</v>
      </c>
      <c r="B5" s="147" t="s">
        <v>235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5.75" customHeight="1">
      <c r="A6" s="146" t="s">
        <v>236</v>
      </c>
      <c r="B6" s="147" t="s">
        <v>237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5.75" customHeight="1">
      <c r="A7" s="148" t="s">
        <v>238</v>
      </c>
      <c r="B7" s="147" t="s">
        <v>239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5.75" customHeight="1">
      <c r="A8" s="146" t="s">
        <v>240</v>
      </c>
      <c r="B8" s="147" t="s">
        <v>241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5.75" customHeight="1">
      <c r="A9" s="148" t="s">
        <v>242</v>
      </c>
      <c r="B9" s="147" t="s">
        <v>243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5.75" customHeight="1">
      <c r="A10" s="149" t="s">
        <v>244</v>
      </c>
      <c r="B10" s="147" t="s">
        <v>245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5.75" customHeight="1">
      <c r="A11" s="148" t="s">
        <v>246</v>
      </c>
      <c r="B11" s="147" t="s">
        <v>247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5.75" customHeight="1">
      <c r="A12" s="148" t="s">
        <v>248</v>
      </c>
      <c r="B12" s="147" t="s">
        <v>249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5.75" customHeight="1">
      <c r="A13" s="148" t="s">
        <v>250</v>
      </c>
      <c r="B13" s="147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5.75" customHeight="1">
      <c r="A14" s="148" t="s">
        <v>252</v>
      </c>
      <c r="B14" s="147" t="s">
        <v>253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5.75" customHeight="1">
      <c r="A15" s="146" t="s">
        <v>254</v>
      </c>
      <c r="B15" s="147" t="s">
        <v>255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5.75" customHeight="1">
      <c r="A16" s="149" t="s">
        <v>256</v>
      </c>
      <c r="B16" s="147" t="s">
        <v>53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5.75" customHeight="1">
      <c r="A17" s="148" t="s">
        <v>257</v>
      </c>
      <c r="B17" s="147" t="s">
        <v>53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5.75" customHeight="1">
      <c r="A18" s="146" t="s">
        <v>258</v>
      </c>
      <c r="B18" s="147" t="s">
        <v>259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5.75" customHeight="1">
      <c r="A19" s="146" t="s">
        <v>260</v>
      </c>
      <c r="B19" s="147" t="s">
        <v>261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75" customHeight="1">
      <c r="A20" s="146" t="s">
        <v>262</v>
      </c>
      <c r="B20" s="147" t="s">
        <v>263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5.75" customHeight="1">
      <c r="A21" s="146" t="s">
        <v>264</v>
      </c>
      <c r="B21" s="147" t="s">
        <v>265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5.75" customHeight="1">
      <c r="A22" s="148" t="s">
        <v>266</v>
      </c>
      <c r="B22" s="147" t="s">
        <v>267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5.75" customHeight="1">
      <c r="A23" s="146" t="s">
        <v>268</v>
      </c>
      <c r="B23" s="147" t="s">
        <v>29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5.75" customHeight="1">
      <c r="A24" s="146" t="s">
        <v>269</v>
      </c>
      <c r="B24" s="147" t="s">
        <v>270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5.75" customHeight="1">
      <c r="A25" s="146" t="s">
        <v>271</v>
      </c>
      <c r="B25" s="147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5.75" customHeight="1">
      <c r="A26" s="146" t="s">
        <v>272</v>
      </c>
      <c r="B26" s="147" t="s">
        <v>273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5.75" customHeight="1">
      <c r="A27" s="146" t="s">
        <v>274</v>
      </c>
      <c r="B27" s="147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5.75" customHeight="1">
      <c r="A28" s="146" t="s">
        <v>275</v>
      </c>
      <c r="B28" s="147" t="s">
        <v>276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5.75" customHeight="1">
      <c r="A29" s="146" t="s">
        <v>277</v>
      </c>
      <c r="B29" s="147" t="s">
        <v>278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4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4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4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4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4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4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4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4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4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4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4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4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4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4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4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4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4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4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4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4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4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4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4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4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4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4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4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4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4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4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4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4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4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4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4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4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4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4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4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4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4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4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4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4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4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4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4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4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4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4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4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4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4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4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4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4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4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4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4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4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4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4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4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4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4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4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4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4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4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4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4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4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4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4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4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4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4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4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4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4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4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4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4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4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4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4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4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4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4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4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4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4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4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4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4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4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4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4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4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4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4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4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4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4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4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4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4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4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4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4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4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4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4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4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4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4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4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4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4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4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4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4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4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4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4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4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4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4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4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4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4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4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4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4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4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4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4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4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4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4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4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4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4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4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4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4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4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4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4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4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4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4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4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4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4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4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4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4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4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4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4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4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4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4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4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4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4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4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4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4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4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4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4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4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4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4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4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4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4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4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4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4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4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4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4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4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4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4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4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4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4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4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4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4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4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4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4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4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4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4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4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4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4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4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4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4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4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4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4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4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4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4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4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4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4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4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4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4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4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4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4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4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4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4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4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4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4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4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4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4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4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4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4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4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4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4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4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4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4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4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4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4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4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4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4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4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4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4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4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4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4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4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4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4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4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4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4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4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4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4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4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4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4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4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4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4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4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4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4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4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4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4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4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4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4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4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4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4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4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4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4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4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4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4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4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4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4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4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4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4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4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4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4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4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4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4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4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4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4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4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4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4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4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4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4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4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4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4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4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4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4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4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4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4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4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4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4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4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4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4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4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4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4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4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4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4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4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4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4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4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4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4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4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4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4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4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4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4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4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4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4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4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4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4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4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4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4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4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4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4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4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4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4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4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4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4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4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4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4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4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4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4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4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4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4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4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4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4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4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4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4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4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4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4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4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4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4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4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4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4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4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4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4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4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4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4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4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4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4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4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4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4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4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4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4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4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4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4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4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4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4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4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4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4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4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4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4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4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4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4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4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4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4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4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4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4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4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4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4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4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4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4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4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4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4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4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4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4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4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4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4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4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4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4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4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4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4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4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4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4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4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4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4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4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4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4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4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4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4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4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4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4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4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4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4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4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4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4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4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4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4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4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4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4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4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4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4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4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4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4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4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4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4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4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4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4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4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4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4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4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4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4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4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4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4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4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4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4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4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4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4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4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4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4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4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4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4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4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4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4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4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4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4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4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4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4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4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4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4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4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4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4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4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4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4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4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4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4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4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4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4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4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4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4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4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4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4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4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4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4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4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4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4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4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4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4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4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4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4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4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4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4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4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4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4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4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4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4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4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4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4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4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4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4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4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4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4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4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4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4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4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4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4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4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4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4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4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4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4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4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4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4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4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4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4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4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4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4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4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4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4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4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4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4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4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4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4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4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4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4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4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4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4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4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4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4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4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4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4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4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4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4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4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4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4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4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4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4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4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4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4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4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4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4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4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4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4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4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4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4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4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4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4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4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4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4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4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4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4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4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4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4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4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4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4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4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4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4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4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4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4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4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4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4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4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4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4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4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4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4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4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4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4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4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4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4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4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4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4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4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4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4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4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4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4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4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4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4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4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4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4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4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4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4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4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4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4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4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4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4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4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4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4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4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4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4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4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4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4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4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4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4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4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4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4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4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4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4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4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4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4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4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4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4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4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4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4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4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4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4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4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4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4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4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4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4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4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4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4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4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4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4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4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4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4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4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4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4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4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4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4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4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4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4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4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4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4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4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4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4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4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4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4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4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4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4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4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4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4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4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4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4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4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4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4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4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4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4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4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4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4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4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4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4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4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4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4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4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4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4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4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4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4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4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4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4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4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4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4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4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4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4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4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4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4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4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4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4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4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4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4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4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4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4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4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4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4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4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4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4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4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4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4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4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4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4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4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4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4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4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4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4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4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4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4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4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4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4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4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4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4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4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4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4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4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4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4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4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4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4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4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4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4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4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4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4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4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4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4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4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4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4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4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4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4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4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4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4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4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4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4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4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4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4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4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4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4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4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4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4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4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4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4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4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4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4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4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4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4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4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4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4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4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4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4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4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4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4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4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4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4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4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4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4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4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4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4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4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4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4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4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4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4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4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4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4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4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4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4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4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4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4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4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4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4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4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4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4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4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4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4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4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4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4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4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4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4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4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4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4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4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4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4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hyperlinks>
    <hyperlink r:id="rId1" ref="A2"/>
    <hyperlink r:id="rId2" ref="A3"/>
    <hyperlink r:id="rId3" ref="A4"/>
    <hyperlink r:id="rId4" ref="A5"/>
    <hyperlink r:id="rId5" location=":~:text=Most%2Dwatched%20ITV%20programs%20in%20the%20United%20Kingdom%20(UK)%202019&amp;text=This%20statistic%20shows%20the%20most,with%20over%2013%20million%20viewers.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location="services" ref="A14"/>
    <hyperlink r:id="rId14" location=":~:text=Answer%3A%20There%20are%20two%20television,between%20%C2%A33%2C000%20%E2%80%93%20%C2%A34%2C000.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location=":~:text=Each%20season%20lasts%20for%2012,%241%2C000%20to%20%241%2C500%20per%20episode." ref="A25"/>
    <hyperlink r:id="rId25" ref="A26"/>
    <hyperlink r:id="rId26" ref="A27"/>
    <hyperlink r:id="rId27" ref="A28"/>
    <hyperlink r:id="rId28" ref="A29"/>
  </hyperlinks>
  <printOptions/>
  <pageMargins bottom="0.75" footer="0.0" header="0.0" left="0.7" right="0.7" top="0.75"/>
  <pageSetup orientation="landscape"/>
  <drawing r:id="rId2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2020-12-27T13:35:37Z</dcterms:created>
</cp:coreProperties>
</file>