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ing Cost" sheetId="1" r:id="rId4"/>
    <sheet state="visible" name="Income" sheetId="2" r:id="rId5"/>
    <sheet state="visible" name="Links" sheetId="3" r:id="rId6"/>
  </sheets>
  <definedNames/>
  <calcPr/>
</workbook>
</file>

<file path=xl/sharedStrings.xml><?xml version="1.0" encoding="utf-8"?>
<sst xmlns="http://schemas.openxmlformats.org/spreadsheetml/2006/main" count="254" uniqueCount="164">
  <si>
    <t>Headquaters</t>
  </si>
  <si>
    <t>Cost</t>
  </si>
  <si>
    <t>Production Facility (Texas)</t>
  </si>
  <si>
    <t>Cost (3mon)</t>
  </si>
  <si>
    <t>Warehouse for Storage (Texas)</t>
  </si>
  <si>
    <t>Cost/yr</t>
  </si>
  <si>
    <t>Office rent (1611sq ft)</t>
  </si>
  <si>
    <t>/yr</t>
  </si>
  <si>
    <t>Facility lease</t>
  </si>
  <si>
    <t>Lease</t>
  </si>
  <si>
    <t>Furnishing (one time cost)</t>
  </si>
  <si>
    <t>Bought parts (engine, CF, raw material)</t>
  </si>
  <si>
    <t>Security + Maintenance</t>
  </si>
  <si>
    <t xml:space="preserve">Employee salary (5 workers) </t>
  </si>
  <si>
    <t>Machinery cost (rent)</t>
  </si>
  <si>
    <t>Total</t>
  </si>
  <si>
    <t>Maintenance &amp; security</t>
  </si>
  <si>
    <t>Electricity, Water &amp; Gas supply</t>
  </si>
  <si>
    <t xml:space="preserve"> ($7/hr, 10hr/day)</t>
  </si>
  <si>
    <t>Cost per quarter</t>
  </si>
  <si>
    <t>R&amp;D (12 workers) + Facilities</t>
  </si>
  <si>
    <t>Skilled labour (40 workers)</t>
  </si>
  <si>
    <t>Area = 7500 sq ft</t>
  </si>
  <si>
    <t>Marketing</t>
  </si>
  <si>
    <t xml:space="preserve">Total </t>
  </si>
  <si>
    <t>Quality Control</t>
  </si>
  <si>
    <t>Logistics</t>
  </si>
  <si>
    <t>Office supplies</t>
  </si>
  <si>
    <t>Testing Facility</t>
  </si>
  <si>
    <t>headquarters</t>
  </si>
  <si>
    <t>event facility</t>
  </si>
  <si>
    <t>Area = 18,000 sq ft</t>
  </si>
  <si>
    <t>production facility</t>
  </si>
  <si>
    <t>Event Facility (Track)</t>
  </si>
  <si>
    <t>box to box</t>
  </si>
  <si>
    <t>Spring Mountain Motorsport Resort Rent</t>
  </si>
  <si>
    <t>Box to Box productions</t>
  </si>
  <si>
    <t>warehouse</t>
  </si>
  <si>
    <t>Gold Tier accomodation</t>
  </si>
  <si>
    <t>for 500 people</t>
  </si>
  <si>
    <t>Web series contract</t>
  </si>
  <si>
    <t>prize pool</t>
  </si>
  <si>
    <t>Modular Tracks and Track set up</t>
  </si>
  <si>
    <t>Temporary Grandstands</t>
  </si>
  <si>
    <t>for 18000 people</t>
  </si>
  <si>
    <t>Marshals Organisation contract</t>
  </si>
  <si>
    <t>15 marshals/yr</t>
  </si>
  <si>
    <t>Fuel</t>
  </si>
  <si>
    <t xml:space="preserve">Prize Pool </t>
  </si>
  <si>
    <t>(5,3,1)</t>
  </si>
  <si>
    <t>Year 1</t>
  </si>
  <si>
    <t xml:space="preserve"> </t>
  </si>
  <si>
    <t>1st</t>
  </si>
  <si>
    <t>2nd</t>
  </si>
  <si>
    <t>3rd</t>
  </si>
  <si>
    <t>HQ</t>
  </si>
  <si>
    <t xml:space="preserve">Production </t>
  </si>
  <si>
    <t>Warehouse</t>
  </si>
  <si>
    <t>Event</t>
  </si>
  <si>
    <t>TV series</t>
  </si>
  <si>
    <t>Prize Pool</t>
  </si>
  <si>
    <t>Production</t>
  </si>
  <si>
    <t>Headquarters</t>
  </si>
  <si>
    <t>Event Facility Setup + Operating Cost</t>
  </si>
  <si>
    <t>TV Series Production</t>
  </si>
  <si>
    <t>Year 2</t>
  </si>
  <si>
    <t>Year 3</t>
  </si>
  <si>
    <t>`</t>
  </si>
  <si>
    <t>Car Sales</t>
  </si>
  <si>
    <t>Cost Price</t>
  </si>
  <si>
    <t>Selling Price</t>
  </si>
  <si>
    <t>Nos</t>
  </si>
  <si>
    <t>/q</t>
  </si>
  <si>
    <t>Revenue from Betting</t>
  </si>
  <si>
    <t>Revenue from Audience Bidding</t>
  </si>
  <si>
    <t>Revenue from Ticket Sales</t>
  </si>
  <si>
    <t>Gold Betters</t>
  </si>
  <si>
    <t>Avg Betting Amt</t>
  </si>
  <si>
    <t>Silver Betters</t>
  </si>
  <si>
    <t>Total Betting Amt</t>
  </si>
  <si>
    <t>Revenue(Margin)</t>
  </si>
  <si>
    <t>Bids Won</t>
  </si>
  <si>
    <t>Avg Highest Bid</t>
  </si>
  <si>
    <t>Cut</t>
  </si>
  <si>
    <t>Bronze</t>
  </si>
  <si>
    <t>Silver</t>
  </si>
  <si>
    <t>Gold</t>
  </si>
  <si>
    <t>Ticket Sales</t>
  </si>
  <si>
    <t>Total Revenue</t>
  </si>
  <si>
    <t>Year</t>
  </si>
  <si>
    <t>Audience Betting</t>
  </si>
  <si>
    <t>Audience Bidding</t>
  </si>
  <si>
    <t>TV Show Revenue</t>
  </si>
  <si>
    <t>Cumulative</t>
  </si>
  <si>
    <t>Quarter Ended</t>
  </si>
  <si>
    <t>Expense</t>
  </si>
  <si>
    <t>Revenue:Pravega</t>
  </si>
  <si>
    <t>Expense+Tax</t>
  </si>
  <si>
    <t>Net loss</t>
  </si>
  <si>
    <t>Loan Returns</t>
  </si>
  <si>
    <t>Net Profit/Loss</t>
  </si>
  <si>
    <t>tot revenue</t>
  </si>
  <si>
    <t>tot expense</t>
  </si>
  <si>
    <t>For Investor</t>
  </si>
  <si>
    <t>Return on Investment</t>
  </si>
  <si>
    <t>Cumulative ROI</t>
  </si>
  <si>
    <t>Per Year ROI</t>
  </si>
  <si>
    <t>Venture Capitalist</t>
  </si>
  <si>
    <t>ROI after 1 year</t>
  </si>
  <si>
    <t>Return After 5 Years</t>
  </si>
  <si>
    <t>ROI after 2 years</t>
  </si>
  <si>
    <t>ROI after 3 years</t>
  </si>
  <si>
    <t>Tot Return (5yrs)</t>
  </si>
  <si>
    <t xml:space="preserve">Total Investment </t>
  </si>
  <si>
    <t>ROI after 4 years</t>
  </si>
  <si>
    <t>ROI after 5 years</t>
  </si>
  <si>
    <t xml:space="preserve">Bank Loan </t>
  </si>
  <si>
    <t>Company Investment</t>
  </si>
  <si>
    <t>Total Payable (5Year term)</t>
  </si>
  <si>
    <t>For Pravega Racing</t>
  </si>
  <si>
    <t>Year 4</t>
  </si>
  <si>
    <t>per quarter</t>
  </si>
  <si>
    <t xml:space="preserve">ROI after 5 years </t>
  </si>
  <si>
    <t>Year 5</t>
  </si>
  <si>
    <t>Las Vegas Sports Betting</t>
  </si>
  <si>
    <t xml:space="preserve">Las Vegas </t>
  </si>
  <si>
    <t>Trading Paint</t>
  </si>
  <si>
    <t>Competitor Analysis</t>
  </si>
  <si>
    <t xml:space="preserve">Entertainment </t>
  </si>
  <si>
    <t>Luxury</t>
  </si>
  <si>
    <t>Return</t>
  </si>
  <si>
    <t>Convenience</t>
  </si>
  <si>
    <t>Casino</t>
  </si>
  <si>
    <t>Sports Betting</t>
  </si>
  <si>
    <t>Link</t>
  </si>
  <si>
    <t>Description</t>
  </si>
  <si>
    <t>https://www.loopnet.com/Listing/6430-W-Sunset-Blvd-Los-Angeles-CA/6601292/</t>
  </si>
  <si>
    <t>HQ office cost - cheap</t>
  </si>
  <si>
    <t>https://www.loopnet.com/Listing/6507-West-Little-York-Rd-Houston-TX/8831984/</t>
  </si>
  <si>
    <t>Texas facility lease cost</t>
  </si>
  <si>
    <t xml:space="preserve">http://blog.motorsportreg.com/global-race-track-rental-fees#.Xo9B58gzZPY </t>
  </si>
  <si>
    <t>Spring Mountain Motorsport rent (TEMP)</t>
  </si>
  <si>
    <t>https://www.loopnet.com/Listing/601-McFarland-St-Houston-TX/17409184/</t>
  </si>
  <si>
    <t>Texas warehouse cost</t>
  </si>
  <si>
    <t>https://www.loopnet.com/Listing/8600-San-Lorenzo-Dr-Laredo-TX/17419244/</t>
  </si>
  <si>
    <t>http://www.pakar-seating.com/temporary-permanent-grandstand-tribune-bleacher-solution/</t>
  </si>
  <si>
    <t>Grandstand</t>
  </si>
  <si>
    <t>https://www.raconteur.net/business-innovation/how-much-does-it-cost-to-stage-a-grand-prix</t>
  </si>
  <si>
    <t>https://www.stadiumbleachers.com/stadium-owners/FAQs</t>
  </si>
  <si>
    <t>Grandstand faq</t>
  </si>
  <si>
    <t>https://www.manufacturingtomorrow.com/article/2018/12/2018-used-cnc-machine-price-average-cnc-machine-price/12676/</t>
  </si>
  <si>
    <t>https://assets.simpleviewcms.com/simpleview/image/upload/v1/clients/lasvegas/2018_Las_Vegas_Visitors_Profile_Study_94443c1d-334f-4d0b-b997-5c8800f990b0.pdf</t>
  </si>
  <si>
    <t>Las Vegas Visitors Profile</t>
  </si>
  <si>
    <t>https://www.bestuscasinos.org/high-rollers-whales/</t>
  </si>
  <si>
    <t>Avg. Betting Budget for high rollers</t>
  </si>
  <si>
    <t>https://variety.com/2019/digital/news/amazon-prime-video-direct-cut-royalty-fees-1203163736/</t>
  </si>
  <si>
    <t>Amazon Prime Revenue</t>
  </si>
  <si>
    <t>https://www.billry.com/blog/how-much-a-car-diagnostic-test-cost</t>
  </si>
  <si>
    <t>Testing Facility Cost</t>
  </si>
  <si>
    <t>https://www.lasvegas4newbies.com/chap10-1.html</t>
  </si>
  <si>
    <t>Las Vegas Gambling Taxes</t>
  </si>
  <si>
    <t>https://www.thesportsgeek.com/sports-betting/las-vegas/</t>
  </si>
  <si>
    <t>sports betting stats vegas; 5% betting cut</t>
  </si>
  <si>
    <t>https://www.usbets.com/nevada-2018-sports-betting-revenue/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</si>
</sst>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sz val="11.0"/>
      <color rgb="FF000000"/>
      <name val="Roboto"/>
    </font>
    <font>
      <sz val="11.0"/>
      <color rgb="FF282828"/>
      <name val="Roboto"/>
    </font>
    <font>
      <b/>
      <color theme="1"/>
      <name val="Arial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3" fontId="2" numFmtId="164" xfId="0" applyFont="1" applyNumberFormat="1"/>
    <xf borderId="0" fillId="5" fontId="1" numFmtId="0" xfId="0" applyAlignment="1" applyFill="1" applyFont="1">
      <alignment readingOrder="0"/>
    </xf>
    <xf borderId="0" fillId="5" fontId="1" numFmtId="164" xfId="0" applyFont="1" applyNumberFormat="1"/>
    <xf borderId="0" fillId="6" fontId="2" numFmtId="0" xfId="0" applyAlignment="1" applyFill="1" applyFont="1">
      <alignment readingOrder="0"/>
    </xf>
    <xf borderId="0" fillId="6" fontId="2" numFmtId="164" xfId="0" applyFont="1" applyNumberFormat="1"/>
    <xf borderId="0" fillId="6" fontId="2" numFmtId="164" xfId="0" applyAlignment="1" applyFont="1" applyNumberFormat="1">
      <alignment readingOrder="0"/>
    </xf>
    <xf borderId="0" fillId="0" fontId="2" numFmtId="164" xfId="0" applyFont="1" applyNumberForma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7" fontId="2" numFmtId="0" xfId="0" applyFill="1" applyFont="1"/>
    <xf borderId="1" fillId="7" fontId="2" numFmtId="0" xfId="0" applyAlignment="1" applyBorder="1" applyFont="1">
      <alignment readingOrder="0"/>
    </xf>
    <xf borderId="0" fillId="4" fontId="2" numFmtId="164" xfId="0" applyAlignment="1" applyFont="1" applyNumberFormat="1">
      <alignment horizontal="right" readingOrder="0"/>
    </xf>
    <xf borderId="0" fillId="3" fontId="2" numFmtId="164" xfId="0" applyAlignment="1" applyFont="1" applyNumberFormat="1">
      <alignment horizontal="right" readingOrder="0"/>
    </xf>
    <xf borderId="0" fillId="7" fontId="2" numFmtId="164" xfId="0" applyAlignment="1" applyFont="1" applyNumberFormat="1">
      <alignment readingOrder="0"/>
    </xf>
    <xf borderId="1" fillId="7" fontId="2" numFmtId="164" xfId="0" applyAlignment="1" applyBorder="1" applyFont="1" applyNumberFormat="1">
      <alignment readingOrder="0"/>
    </xf>
    <xf borderId="0" fillId="7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1" fillId="0" fontId="2" numFmtId="164" xfId="0" applyBorder="1" applyFont="1" applyNumberFormat="1"/>
    <xf borderId="0" fillId="4" fontId="2" numFmtId="164" xfId="0" applyFont="1" applyNumberFormat="1"/>
    <xf borderId="0" fillId="4" fontId="2" numFmtId="0" xfId="0" applyFont="1"/>
    <xf borderId="0" fillId="5" fontId="1" numFmtId="164" xfId="0" applyAlignment="1" applyFont="1" applyNumberFormat="1">
      <alignment readingOrder="0"/>
    </xf>
    <xf borderId="0" fillId="7" fontId="1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3" fontId="2" numFmtId="0" xfId="0" applyFont="1"/>
    <xf borderId="0" fillId="9" fontId="2" numFmtId="164" xfId="0" applyFill="1" applyFont="1" applyNumberFormat="1"/>
    <xf borderId="0" fillId="8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164" xfId="0" applyAlignment="1" applyFont="1" applyNumberFormat="1">
      <alignment horizontal="right" readingOrder="0" vertical="bottom"/>
    </xf>
    <xf borderId="0" fillId="3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9" fontId="2" numFmtId="164" xfId="0" applyAlignment="1" applyFont="1" applyNumberFormat="1">
      <alignment horizontal="right" vertical="bottom"/>
    </xf>
    <xf borderId="0" fillId="7" fontId="2" numFmtId="164" xfId="0" applyAlignment="1" applyFont="1" applyNumberFormat="1">
      <alignment horizontal="right" readingOrder="0"/>
    </xf>
    <xf borderId="0" fillId="10" fontId="2" numFmtId="0" xfId="0" applyAlignment="1" applyFill="1" applyFont="1">
      <alignment readingOrder="0"/>
    </xf>
    <xf borderId="0" fillId="11" fontId="2" numFmtId="164" xfId="0" applyAlignment="1" applyFill="1" applyFont="1" applyNumberFormat="1">
      <alignment readingOrder="0"/>
    </xf>
    <xf borderId="0" fillId="11" fontId="2" numFmtId="10" xfId="0" applyFont="1" applyNumberFormat="1"/>
    <xf borderId="0" fillId="11" fontId="2" numFmtId="164" xfId="0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12" fontId="2" numFmtId="164" xfId="0" applyAlignment="1" applyFill="1" applyFont="1" applyNumberFormat="1">
      <alignment readingOrder="0"/>
    </xf>
    <xf borderId="0" fillId="12" fontId="1" numFmtId="164" xfId="0" applyAlignment="1" applyFont="1" applyNumberFormat="1">
      <alignment horizontal="right" readingOrder="0"/>
    </xf>
    <xf borderId="2" fillId="0" fontId="3" numFmtId="0" xfId="0" applyAlignment="1" applyBorder="1" applyFont="1">
      <alignment readingOrder="0"/>
    </xf>
    <xf borderId="1" fillId="7" fontId="4" numFmtId="164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2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3F3F3"/>
              </a:solidFill>
            </c:spPr>
          </c:dPt>
          <c:dPt>
            <c:idx val="1"/>
            <c:spPr>
              <a:solidFill>
                <a:srgbClr val="EF709C"/>
              </a:solidFill>
            </c:spPr>
          </c:dPt>
          <c:dPt>
            <c:idx val="2"/>
            <c:spPr>
              <a:solidFill>
                <a:srgbClr val="E91E63"/>
              </a:solidFill>
            </c:spPr>
          </c:dPt>
          <c:dPt>
            <c:idx val="3"/>
            <c:spPr>
              <a:solidFill>
                <a:srgbClr val="000000"/>
              </a:solidFill>
            </c:spPr>
          </c:dPt>
          <c:dPt>
            <c:idx val="4"/>
            <c:spPr>
              <a:solidFill>
                <a:srgbClr val="03DAC6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F7F7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'Operating Cost'!$G$11:$G$17</c:f>
            </c:strRef>
          </c:cat>
          <c:val>
            <c:numRef>
              <c:f>'Operating Cost'!$H$11:$H$17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800">
                <a:solidFill>
                  <a:srgbClr val="FFFFFF"/>
                </a:solidFill>
                <a:latin typeface="+mn-lt"/>
              </a:defRPr>
            </a:pPr>
            <a:r>
              <a:rPr b="1" sz="2800">
                <a:solidFill>
                  <a:srgbClr val="FFFFFF"/>
                </a:solidFill>
                <a:latin typeface="+mn-lt"/>
              </a:rPr>
              <a:t>Ticket Sales - Market Share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Pt>
            <c:idx val="1"/>
            <c:explosion val="25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Income!$K$92:$K$93</c:f>
            </c:strRef>
          </c:cat>
          <c:val>
            <c:numRef>
              <c:f>Income!$L$92:$L$93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FFFFFF"/>
              </a:solidFill>
              <a:latin typeface="Roboto"/>
            </a:defRPr>
          </a:pPr>
        </a:p>
      </c:txPr>
    </c:legend>
    <c:plotVisOnly val="1"/>
  </c:chart>
  <c:spPr>
    <a:solidFill>
      <a:srgbClr val="262626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Income!$A$112:$A$114</c:f>
            </c:strRef>
          </c:cat>
          <c:val>
            <c:numRef>
              <c:f>Income!$B$112:$B$114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574722721681515"/>
          <c:y val="0.06713899607867645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EF709C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Income!$A$112:$A$114</c:f>
            </c:strRef>
          </c:cat>
          <c:val>
            <c:numRef>
              <c:f>Income!$C$112:$C$114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574722721681515"/>
          <c:y val="0.06713899607867645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EF709C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Income!$A$112:$A$114</c:f>
            </c:strRef>
          </c:cat>
          <c:val>
            <c:numRef>
              <c:f>Income!$D$112:$D$114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574722721681515"/>
          <c:y val="0.06713899607867645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EF709C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Income!$A$112:$A$114</c:f>
            </c:strRef>
          </c:cat>
          <c:val>
            <c:numRef>
              <c:f>Income!$E$112:$E$114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574722721681515"/>
          <c:y val="0.06713899607867645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  <a:r>
              <a:rPr b="0">
                <a:solidFill>
                  <a:srgbClr val="FFFFFF"/>
                </a:solidFill>
                <a:latin typeface="Roboto"/>
              </a:rPr>
              <a:t>Revenue and Expense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Income!$L$38</c:f>
            </c:strRef>
          </c:tx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Income!$K$39:$K$59</c:f>
            </c:strRef>
          </c:cat>
          <c:val>
            <c:numRef>
              <c:f>Income!$L$39:$L$59</c:f>
            </c:numRef>
          </c:val>
          <c:smooth val="1"/>
        </c:ser>
        <c:ser>
          <c:idx val="1"/>
          <c:order val="1"/>
          <c:tx>
            <c:strRef>
              <c:f>Income!$O$38</c:f>
            </c:strRef>
          </c:tx>
          <c:marker>
            <c:symbol val="none"/>
          </c:marker>
          <c:cat>
            <c:strRef>
              <c:f>Income!$K$39:$K$59</c:f>
            </c:strRef>
          </c:cat>
          <c:val>
            <c:numRef>
              <c:f>Income!$O$39:$O$59</c:f>
            </c:numRef>
          </c:val>
          <c:smooth val="1"/>
        </c:ser>
        <c:axId val="1205656367"/>
        <c:axId val="737571833"/>
      </c:lineChart>
      <c:catAx>
        <c:axId val="120565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737571833"/>
      </c:catAx>
      <c:valAx>
        <c:axId val="737571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2056563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Return on Investment per Year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F3F3F3"/>
              </a:solidFill>
            </a:ln>
          </c:spPr>
          <c:cat>
            <c:strRef>
              <c:f>Income!$D$60:$D$64</c:f>
            </c:strRef>
          </c:cat>
          <c:val>
            <c:numRef>
              <c:f>Income!$C$60:$C$64</c:f>
            </c:numRef>
          </c:val>
        </c:ser>
        <c:axId val="1818451148"/>
        <c:axId val="460727585"/>
      </c:areaChart>
      <c:catAx>
        <c:axId val="1818451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60727585"/>
      </c:catAx>
      <c:valAx>
        <c:axId val="460727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ROI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18451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5"/>
                </a:solidFill>
                <a:latin typeface="+mn-lt"/>
              </a:defRPr>
            </a:pPr>
            <a:r>
              <a:rPr b="0">
                <a:solidFill>
                  <a:schemeClr val="accent5"/>
                </a:solidFill>
                <a:latin typeface="+mn-lt"/>
              </a:rPr>
              <a:t>Net Profit/Loss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Income!$K$38:$K$59</c:f>
            </c:strRef>
          </c:cat>
          <c:val>
            <c:numRef>
              <c:f>Income!$S$38:$S$59</c:f>
            </c:numRef>
          </c:val>
        </c:ser>
        <c:axId val="49991025"/>
        <c:axId val="320136174"/>
      </c:areaChart>
      <c:catAx>
        <c:axId val="49991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20136174"/>
      </c:catAx>
      <c:valAx>
        <c:axId val="320136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9991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Predicted 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Income!$V$12</c:f>
            </c:strRef>
          </c:tx>
          <c:spPr>
            <a:solidFill>
              <a:schemeClr val="accent5"/>
            </a:solidFill>
          </c:spPr>
          <c:cat>
            <c:strRef>
              <c:f>Income!$U$13:$U$15</c:f>
            </c:strRef>
          </c:cat>
          <c:val>
            <c:numRef>
              <c:f>Income!$V$13:$V$15</c:f>
            </c:numRef>
          </c:val>
        </c:ser>
        <c:ser>
          <c:idx val="1"/>
          <c:order val="1"/>
          <c:tx>
            <c:strRef>
              <c:f>Income!$Y$12</c:f>
            </c:strRef>
          </c:tx>
          <c:spPr>
            <a:solidFill>
              <a:srgbClr val="FA7BA7"/>
            </a:solidFill>
          </c:spPr>
          <c:cat>
            <c:strRef>
              <c:f>Income!$U$13:$U$15</c:f>
            </c:strRef>
          </c:cat>
          <c:val>
            <c:numRef>
              <c:f>Income!$Y$13:$Y$15</c:f>
            </c:numRef>
          </c:val>
        </c:ser>
        <c:ser>
          <c:idx val="2"/>
          <c:order val="2"/>
          <c:tx>
            <c:strRef>
              <c:f>Income!$W$12</c:f>
            </c:strRef>
          </c:tx>
          <c:spPr>
            <a:solidFill>
              <a:schemeClr val="accent3"/>
            </a:solidFill>
          </c:spPr>
          <c:cat>
            <c:strRef>
              <c:f>Income!$U$13:$U$15</c:f>
            </c:strRef>
          </c:cat>
          <c:val>
            <c:numRef>
              <c:f>Income!$W$13:$W$15</c:f>
            </c:numRef>
          </c:val>
        </c:ser>
        <c:ser>
          <c:idx val="3"/>
          <c:order val="3"/>
          <c:tx>
            <c:strRef>
              <c:f>Income!$X$12</c:f>
            </c:strRef>
          </c:tx>
          <c:spPr>
            <a:solidFill>
              <a:schemeClr val="accent4"/>
            </a:solidFill>
          </c:spPr>
          <c:cat>
            <c:strRef>
              <c:f>Income!$U$13:$U$15</c:f>
            </c:strRef>
          </c:cat>
          <c:val>
            <c:numRef>
              <c:f>Income!$X$13:$X$15</c:f>
            </c:numRef>
          </c:val>
        </c:ser>
        <c:overlap val="100"/>
        <c:axId val="113767650"/>
        <c:axId val="1743525274"/>
      </c:barChart>
      <c:catAx>
        <c:axId val="113767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25274"/>
      </c:catAx>
      <c:valAx>
        <c:axId val="174352527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67650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Return of Investment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F3F3F3"/>
              </a:solidFill>
            </a:ln>
          </c:spPr>
          <c:cat>
            <c:strRef>
              <c:f>Income!$D$60:$D$64</c:f>
            </c:strRef>
          </c:cat>
          <c:val>
            <c:numRef>
              <c:f>Income!$B$60:$B$64</c:f>
            </c:numRef>
          </c:val>
        </c:ser>
        <c:ser>
          <c:idx val="1"/>
          <c:order val="1"/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F709C"/>
              </a:solidFill>
            </a:ln>
          </c:spPr>
          <c:cat>
            <c:strRef>
              <c:f>Income!$D$60:$D$64</c:f>
            </c:strRef>
          </c:cat>
          <c:val>
            <c:numRef>
              <c:f>Income!$C$60:$C$64</c:f>
            </c:numRef>
          </c:val>
        </c:ser>
        <c:axId val="417028530"/>
        <c:axId val="2098243106"/>
      </c:areaChart>
      <c:catAx>
        <c:axId val="417028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98243106"/>
      </c:catAx>
      <c:valAx>
        <c:axId val="2098243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FFFFFF"/>
                </a:solidFill>
                <a:latin typeface="+mn-lt"/>
              </a:defRPr>
            </a:pPr>
          </a:p>
        </c:txPr>
        <c:crossAx val="4170285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  <a:r>
              <a:rPr b="0">
                <a:solidFill>
                  <a:srgbClr val="FFFFFF"/>
                </a:solidFill>
                <a:latin typeface="Roboto"/>
              </a:rPr>
              <a:t>Return of Investment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Income!$F$62</c:f>
            </c:strRef>
          </c:tx>
          <c:marker>
            <c:symbol val="none"/>
          </c:marker>
          <c:cat>
            <c:strRef>
              <c:f>Income!$D$60:$D$64</c:f>
            </c:strRef>
          </c:cat>
          <c:val>
            <c:numRef>
              <c:f>Income!$F$63:$F$67</c:f>
            </c:numRef>
          </c:val>
          <c:smooth val="0"/>
        </c:ser>
        <c:ser>
          <c:idx val="1"/>
          <c:order val="1"/>
          <c:tx>
            <c:strRef>
              <c:f>Income!$G$62</c:f>
            </c:strRef>
          </c:tx>
          <c:marker>
            <c:symbol val="none"/>
          </c:marker>
          <c:cat>
            <c:strRef>
              <c:f>Income!$D$60:$D$64</c:f>
            </c:strRef>
          </c:cat>
          <c:val>
            <c:numRef>
              <c:f>Income!$G$63:$G$67</c:f>
            </c:numRef>
          </c:val>
          <c:smooth val="0"/>
        </c:ser>
        <c:axId val="247395927"/>
        <c:axId val="1209826685"/>
      </c:lineChart>
      <c:catAx>
        <c:axId val="24739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09826685"/>
      </c:catAx>
      <c:valAx>
        <c:axId val="1209826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47395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rgbClr val="E91E63"/>
              </a:solidFill>
            </c:spPr>
          </c:dPt>
          <c:dPt>
            <c:idx val="2"/>
            <c:spPr>
              <a:solidFill>
                <a:srgbClr val="EF709C"/>
              </a:solidFill>
            </c:spPr>
          </c:dPt>
          <c:dPt>
            <c:idx val="3"/>
            <c:spPr>
              <a:solidFill>
                <a:srgbClr val="03DAC6"/>
              </a:solidFill>
            </c:spPr>
          </c:dPt>
          <c:dPt>
            <c:idx val="4"/>
            <c:spPr>
              <a:solidFill>
                <a:srgbClr val="999999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Income!$AA$39:$AA$43</c:f>
            </c:strRef>
          </c:cat>
          <c:val>
            <c:numRef>
              <c:f>Income!$AB$39:$AB$44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194314578887752"/>
          <c:y val="0.057170963763871804"/>
        </c:manualLayout>
      </c:layout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800">
                <a:solidFill>
                  <a:srgbClr val="FFFFFF"/>
                </a:solidFill>
                <a:latin typeface="+mn-lt"/>
              </a:defRPr>
            </a:pPr>
            <a:r>
              <a:rPr b="1" sz="2800">
                <a:solidFill>
                  <a:srgbClr val="FFFFFF"/>
                </a:solidFill>
                <a:latin typeface="+mn-lt"/>
              </a:rPr>
              <a:t>Betting Market Share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Pt>
            <c:idx val="1"/>
            <c:explosion val="25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Income!$H$92:$H$93</c:f>
            </c:strRef>
          </c:cat>
          <c:val>
            <c:numRef>
              <c:f>Income!$I$92:$I$93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FFFFFF"/>
              </a:solidFill>
              <a:latin typeface="Roboto"/>
            </a:defRPr>
          </a:pPr>
        </a:p>
      </c:txPr>
    </c:legend>
    <c:plotVisOnly val="1"/>
  </c:chart>
  <c:spPr>
    <a:solidFill>
      <a:srgbClr val="26262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1019175</xdr:colOff>
      <xdr:row>49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34</xdr:row>
      <xdr:rowOff>190500</xdr:rowOff>
    </xdr:from>
    <xdr:ext cx="6286500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69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1114425</xdr:colOff>
      <xdr:row>69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1162050</xdr:colOff>
      <xdr:row>16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962025</xdr:colOff>
      <xdr:row>69</xdr:row>
      <xdr:rowOff>180975</xdr:rowOff>
    </xdr:from>
    <xdr:ext cx="58197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257175</xdr:colOff>
      <xdr:row>88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838200</xdr:colOff>
      <xdr:row>38</xdr:row>
      <xdr:rowOff>190500</xdr:rowOff>
    </xdr:from>
    <xdr:ext cx="4638675" cy="2857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504825</xdr:colOff>
      <xdr:row>98</xdr:row>
      <xdr:rowOff>171450</xdr:rowOff>
    </xdr:from>
    <xdr:ext cx="5105400" cy="4324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200025</xdr:colOff>
      <xdr:row>98</xdr:row>
      <xdr:rowOff>180975</xdr:rowOff>
    </xdr:from>
    <xdr:ext cx="5105400" cy="43243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428625</xdr:colOff>
      <xdr:row>117</xdr:row>
      <xdr:rowOff>161925</xdr:rowOff>
    </xdr:from>
    <xdr:ext cx="4572000" cy="2400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428625</xdr:colOff>
      <xdr:row>131</xdr:row>
      <xdr:rowOff>0</xdr:rowOff>
    </xdr:from>
    <xdr:ext cx="4572000" cy="2400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428625</xdr:colOff>
      <xdr:row>131</xdr:row>
      <xdr:rowOff>0</xdr:rowOff>
    </xdr:from>
    <xdr:ext cx="4572000" cy="24003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209550</xdr:colOff>
      <xdr:row>131</xdr:row>
      <xdr:rowOff>0</xdr:rowOff>
    </xdr:from>
    <xdr:ext cx="4572000" cy="2400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FFFFFF"/>
      </a:dk1>
      <a:lt1>
        <a:srgbClr val="7F7F7F"/>
      </a:lt1>
      <a:dk2>
        <a:srgbClr val="FFFFFF"/>
      </a:dk2>
      <a:lt2>
        <a:srgbClr val="7F7F7F"/>
      </a:lt2>
      <a:accent1>
        <a:srgbClr val="F3F3F3"/>
      </a:accent1>
      <a:accent2>
        <a:srgbClr val="EF709C"/>
      </a:accent2>
      <a:accent3>
        <a:srgbClr val="E91E63"/>
      </a:accent3>
      <a:accent4>
        <a:srgbClr val="000000"/>
      </a:accent4>
      <a:accent5>
        <a:srgbClr val="03DAC6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estuscasinos.org/high-rollers-whales/" TargetMode="External"/><Relationship Id="rId10" Type="http://schemas.openxmlformats.org/officeDocument/2006/relationships/hyperlink" Target="https://assets.simpleviewcms.com/simpleview/image/upload/v1/clients/lasvegas/2018_Las_Vegas_Visitors_Profile_Study_94443c1d-334f-4d0b-b997-5c8800f990b0.pdf" TargetMode="External"/><Relationship Id="rId13" Type="http://schemas.openxmlformats.org/officeDocument/2006/relationships/hyperlink" Target="https://www.billry.com/blog/how-much-a-car-diagnostic-test-cost" TargetMode="External"/><Relationship Id="rId12" Type="http://schemas.openxmlformats.org/officeDocument/2006/relationships/hyperlink" Target="https://variety.com/2019/digital/news/amazon-prime-video-direct-cut-royalty-fees-1203163736/" TargetMode="External"/><Relationship Id="rId1" Type="http://schemas.openxmlformats.org/officeDocument/2006/relationships/hyperlink" Target="https://www.loopnet.com/Listing/6430-W-Sunset-Blvd-Los-Angeles-CA/6601292/" TargetMode="External"/><Relationship Id="rId2" Type="http://schemas.openxmlformats.org/officeDocument/2006/relationships/hyperlink" Target="https://www.loopnet.com/Listing/6507-West-Little-York-Rd-Houston-TX/8831984/" TargetMode="External"/><Relationship Id="rId3" Type="http://schemas.openxmlformats.org/officeDocument/2006/relationships/hyperlink" Target="http://blog.motorsportreg.com/global-race-track-rental-fees" TargetMode="External"/><Relationship Id="rId4" Type="http://schemas.openxmlformats.org/officeDocument/2006/relationships/hyperlink" Target="https://www.loopnet.com/Listing/601-McFarland-St-Houston-TX/17409184/" TargetMode="External"/><Relationship Id="rId9" Type="http://schemas.openxmlformats.org/officeDocument/2006/relationships/hyperlink" Target="https://www.manufacturingtomorrow.com/article/2018/12/2018-used-cnc-machine-price-average-cnc-machine-price/12676/" TargetMode="External"/><Relationship Id="rId15" Type="http://schemas.openxmlformats.org/officeDocument/2006/relationships/hyperlink" Target="https://www.thesportsgeek.com/sports-betting/las-vegas/" TargetMode="External"/><Relationship Id="rId14" Type="http://schemas.openxmlformats.org/officeDocument/2006/relationships/hyperlink" Target="https://www.lasvegas4newbies.com/chap10-1.html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www.usbets.com/nevada-2018-sports-betting-revenue/" TargetMode="External"/><Relationship Id="rId5" Type="http://schemas.openxmlformats.org/officeDocument/2006/relationships/hyperlink" Target="https://www.loopnet.com/Listing/8600-San-Lorenzo-Dr-Laredo-TX/17419244/" TargetMode="External"/><Relationship Id="rId6" Type="http://schemas.openxmlformats.org/officeDocument/2006/relationships/hyperlink" Target="http://www.pakar-seating.com/temporary-permanent-grandstand-tribune-bleacher-solution/" TargetMode="External"/><Relationship Id="rId7" Type="http://schemas.openxmlformats.org/officeDocument/2006/relationships/hyperlink" Target="https://www.raconteur.net/business-innovation/how-much-does-it-cost-to-stage-a-grand-prix" TargetMode="External"/><Relationship Id="rId8" Type="http://schemas.openxmlformats.org/officeDocument/2006/relationships/hyperlink" Target="https://www.stadiumbleachers.com/stadium-owners/FA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3" max="3" width="17.57"/>
    <col customWidth="1" min="4" max="4" width="33.43"/>
    <col customWidth="1" min="6" max="6" width="16.14"/>
    <col customWidth="1" min="7" max="7" width="29.57"/>
    <col customWidth="1" min="8" max="8" width="16.43"/>
    <col customWidth="1" min="11" max="11" width="21.57"/>
  </cols>
  <sheetData>
    <row r="1">
      <c r="A1" s="1" t="s">
        <v>0</v>
      </c>
      <c r="B1" s="2" t="s">
        <v>1</v>
      </c>
      <c r="C1" s="3"/>
      <c r="D1" s="1" t="s">
        <v>2</v>
      </c>
      <c r="E1" s="2" t="s">
        <v>3</v>
      </c>
      <c r="F1" s="3"/>
      <c r="G1" s="1" t="s">
        <v>4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>
        <f>64.44*1611</f>
        <v>103812.84</v>
      </c>
      <c r="C2" s="6" t="s">
        <v>7</v>
      </c>
      <c r="D2" s="4" t="s">
        <v>8</v>
      </c>
      <c r="E2" s="5">
        <f> 0.78*12*18000/4</f>
        <v>42120</v>
      </c>
      <c r="F2" s="3"/>
      <c r="G2" s="4" t="s">
        <v>9</v>
      </c>
      <c r="H2" s="5">
        <f>1.1*7500</f>
        <v>8250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10</v>
      </c>
      <c r="B3" s="8">
        <v>50000.0</v>
      </c>
      <c r="C3" s="3"/>
      <c r="D3" s="4" t="s">
        <v>11</v>
      </c>
      <c r="E3" s="5">
        <f>30000+2600*20+600*20</f>
        <v>94000</v>
      </c>
      <c r="F3" s="3"/>
      <c r="G3" s="4" t="s">
        <v>12</v>
      </c>
      <c r="H3" s="5">
        <v>5000.0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13</v>
      </c>
      <c r="B4" s="9">
        <f>12*5*3500</f>
        <v>210000</v>
      </c>
      <c r="C4" s="6" t="s">
        <v>7</v>
      </c>
      <c r="D4" s="4" t="s">
        <v>14</v>
      </c>
      <c r="E4" s="5">
        <f>50000</f>
        <v>50000</v>
      </c>
      <c r="F4" s="3"/>
      <c r="G4" s="10" t="s">
        <v>15</v>
      </c>
      <c r="H4" s="11">
        <f>SUM(H2,H3)</f>
        <v>13250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16</v>
      </c>
      <c r="B5" s="5">
        <v>3000.0</v>
      </c>
      <c r="C5" s="6" t="s">
        <v>7</v>
      </c>
      <c r="D5" s="4" t="s">
        <v>17</v>
      </c>
      <c r="E5" s="5">
        <f>10000/4</f>
        <v>2500</v>
      </c>
      <c r="F5" s="6" t="s">
        <v>18</v>
      </c>
      <c r="G5" s="12" t="s">
        <v>19</v>
      </c>
      <c r="H5" s="13">
        <f>H4/4</f>
        <v>3312.5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20</v>
      </c>
      <c r="B6" s="9">
        <f>7000*12*12+1000*12+500*5</f>
        <v>1022500</v>
      </c>
      <c r="C6" s="6" t="s">
        <v>7</v>
      </c>
      <c r="D6" s="4" t="s">
        <v>21</v>
      </c>
      <c r="E6" s="9">
        <f>40*25*8*26*12/4</f>
        <v>624000</v>
      </c>
      <c r="F6" s="3"/>
      <c r="G6" s="6" t="s">
        <v>22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23</v>
      </c>
      <c r="B7" s="5">
        <v>30000.0</v>
      </c>
      <c r="C7" s="6" t="s">
        <v>7</v>
      </c>
      <c r="D7" s="4" t="s">
        <v>16</v>
      </c>
      <c r="E7" s="5">
        <v>5000.0</v>
      </c>
      <c r="F7" s="3"/>
      <c r="G7" s="3"/>
      <c r="H7" s="3"/>
      <c r="I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24</v>
      </c>
      <c r="B8" s="11">
        <f>sum(B2,B3,B4,B5,B7,B6)</f>
        <v>1419312.84</v>
      </c>
      <c r="C8" s="3"/>
      <c r="D8" s="4" t="s">
        <v>25</v>
      </c>
      <c r="E8" s="5">
        <v>1000.0</v>
      </c>
      <c r="F8" s="3"/>
      <c r="G8" s="3"/>
      <c r="H8" s="3"/>
      <c r="I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19</v>
      </c>
      <c r="B9" s="14">
        <f>B8/4</f>
        <v>354828.21</v>
      </c>
      <c r="C9" s="3"/>
      <c r="D9" s="4" t="s">
        <v>26</v>
      </c>
      <c r="E9" s="5">
        <v>5000.0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4" t="s">
        <v>27</v>
      </c>
      <c r="E10" s="5">
        <v>600.0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5"/>
      <c r="C11" s="3"/>
      <c r="D11" s="4" t="s">
        <v>28</v>
      </c>
      <c r="E11" s="5">
        <v>15000.0</v>
      </c>
      <c r="F11" s="3"/>
      <c r="G11" s="16" t="s">
        <v>29</v>
      </c>
      <c r="H11" s="17">
        <v>1419312.0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5"/>
      <c r="C12" s="3"/>
      <c r="D12" s="10" t="s">
        <v>15</v>
      </c>
      <c r="E12" s="11">
        <f>SUM(E2:E11)</f>
        <v>839220</v>
      </c>
      <c r="F12" s="3"/>
      <c r="G12" s="16" t="s">
        <v>30</v>
      </c>
      <c r="H12" s="17">
        <v>6283040.0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5"/>
      <c r="C13" s="3"/>
      <c r="D13" s="6" t="s">
        <v>31</v>
      </c>
      <c r="E13" s="15"/>
      <c r="F13" s="3"/>
      <c r="G13" s="16" t="s">
        <v>32</v>
      </c>
      <c r="H13" s="17">
        <v>839220.0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33</v>
      </c>
      <c r="B14" s="2" t="s">
        <v>1</v>
      </c>
      <c r="C14" s="3"/>
      <c r="D14" s="3"/>
      <c r="E14" s="3"/>
      <c r="F14" s="3"/>
      <c r="G14" s="16" t="s">
        <v>34</v>
      </c>
      <c r="H14" s="17">
        <v>2000000.0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35</v>
      </c>
      <c r="B15" s="5">
        <f>50000*10</f>
        <v>500000</v>
      </c>
      <c r="C15" s="6" t="s">
        <v>7</v>
      </c>
      <c r="D15" s="1" t="s">
        <v>36</v>
      </c>
      <c r="E15" s="18" t="s">
        <v>1</v>
      </c>
      <c r="F15" s="19"/>
      <c r="G15" s="20" t="s">
        <v>37</v>
      </c>
      <c r="H15" s="17">
        <v>13250.0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38</v>
      </c>
      <c r="B16" s="21">
        <v>1000000.0</v>
      </c>
      <c r="C16" s="6" t="s">
        <v>39</v>
      </c>
      <c r="D16" s="4" t="s">
        <v>40</v>
      </c>
      <c r="E16" s="22">
        <v>2000000.0</v>
      </c>
      <c r="F16" s="23"/>
      <c r="G16" s="24" t="s">
        <v>41</v>
      </c>
      <c r="H16" s="17">
        <v>9000000.0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42</v>
      </c>
      <c r="B17" s="5">
        <v>165000.0</v>
      </c>
      <c r="C17" s="3"/>
      <c r="D17" s="12" t="s">
        <v>19</v>
      </c>
      <c r="E17" s="13">
        <f>E16/4</f>
        <v>500000</v>
      </c>
      <c r="F17" s="25"/>
      <c r="G17" s="25"/>
      <c r="H17" s="15">
        <f>sum(H11:H16)</f>
        <v>19554822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43</v>
      </c>
      <c r="B18" s="8">
        <f>250*18000</f>
        <v>4500000</v>
      </c>
      <c r="C18" s="6" t="s">
        <v>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45</v>
      </c>
      <c r="B19" s="5">
        <f>10*1300</f>
        <v>13000</v>
      </c>
      <c r="C19" s="6" t="s">
        <v>46</v>
      </c>
      <c r="D19" s="3"/>
      <c r="E19" s="1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12</v>
      </c>
      <c r="B20" s="5">
        <v>100000.0</v>
      </c>
      <c r="C20" s="3"/>
      <c r="D20" s="3"/>
      <c r="E20" s="2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47</v>
      </c>
      <c r="B21" s="5">
        <f>0.84*600*10</f>
        <v>5040</v>
      </c>
      <c r="C21" s="6" t="s">
        <v>7</v>
      </c>
      <c r="D21" s="1" t="s">
        <v>48</v>
      </c>
      <c r="E21" s="5">
        <v>9000000.0</v>
      </c>
      <c r="F21" s="6" t="s">
        <v>49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15</v>
      </c>
      <c r="B22" s="11">
        <f>sum(B15:B21)</f>
        <v>6283040</v>
      </c>
      <c r="C22" s="3"/>
      <c r="D22" s="3"/>
      <c r="E22" s="27"/>
      <c r="F22" s="3"/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2" t="s">
        <v>19</v>
      </c>
      <c r="B23" s="13">
        <f>B22/4</f>
        <v>1570760</v>
      </c>
      <c r="C23" s="3"/>
      <c r="D23" s="3"/>
      <c r="E23" s="2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15"/>
      <c r="C25" s="3"/>
      <c r="D25" s="3"/>
      <c r="E25" s="15"/>
      <c r="F25" s="3"/>
      <c r="G25" s="3"/>
      <c r="H25" s="15">
        <f>sum(A33,B33,C33)</f>
        <v>3111002.84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8" t="s">
        <v>50</v>
      </c>
      <c r="B26" s="15"/>
      <c r="C26" s="3"/>
      <c r="D26" s="3"/>
      <c r="E26" s="27" t="s">
        <v>51</v>
      </c>
      <c r="F26" s="3"/>
      <c r="G26" s="3"/>
      <c r="H26" s="3"/>
      <c r="I26" s="3"/>
      <c r="J26" s="3"/>
      <c r="K26" s="3"/>
      <c r="L26" s="6" t="s">
        <v>52</v>
      </c>
      <c r="M26" s="6" t="s">
        <v>53</v>
      </c>
      <c r="N26" s="6" t="s">
        <v>54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9" t="s">
        <v>55</v>
      </c>
      <c r="B27" s="30" t="s">
        <v>56</v>
      </c>
      <c r="C27" s="29" t="s">
        <v>57</v>
      </c>
      <c r="D27" s="29" t="s">
        <v>58</v>
      </c>
      <c r="E27" s="30" t="s">
        <v>59</v>
      </c>
      <c r="F27" s="29" t="s">
        <v>60</v>
      </c>
      <c r="G27" s="29" t="s">
        <v>24</v>
      </c>
      <c r="H27" s="3"/>
      <c r="I27" s="3"/>
      <c r="J27" s="3"/>
      <c r="K27" s="3"/>
      <c r="L27" s="31">
        <f>C33+B33</f>
        <v>1691690</v>
      </c>
      <c r="M27" s="31">
        <f>B41+C41</f>
        <v>937717</v>
      </c>
      <c r="N27" s="31">
        <f>sum(B45:B48,C45:C48)</f>
        <v>1031488.7</v>
      </c>
      <c r="O27" s="15">
        <f t="shared" ref="O27:O31" si="1">sum(N27,L27,M27)</f>
        <v>3660895.7</v>
      </c>
      <c r="P27" s="6" t="s">
        <v>61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50000.0</v>
      </c>
      <c r="B28" s="32">
        <f>E12</f>
        <v>839220</v>
      </c>
      <c r="C28" s="33"/>
      <c r="D28" s="32">
        <f>B18+B16</f>
        <v>5500000</v>
      </c>
      <c r="E28" s="33"/>
      <c r="F28" s="33"/>
      <c r="G28" s="32">
        <f t="shared" ref="G28:G32" si="2">sum(A28:F28)</f>
        <v>6389220</v>
      </c>
      <c r="H28" s="3"/>
      <c r="I28" s="3"/>
      <c r="J28" s="3"/>
      <c r="K28" s="3"/>
      <c r="L28" s="17">
        <f>A33</f>
        <v>1419312.84</v>
      </c>
      <c r="M28" s="31">
        <f>sum(A37:A40)</f>
        <v>1506244.124</v>
      </c>
      <c r="N28" s="31">
        <f>sum(A45:A48)</f>
        <v>1656868.536</v>
      </c>
      <c r="O28" s="15">
        <f t="shared" si="1"/>
        <v>4582425.5</v>
      </c>
      <c r="P28" s="6" t="s">
        <v>62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>
        <f>sum(B2,B4,B5,B6,B7)/4</f>
        <v>342328.21</v>
      </c>
      <c r="B29" s="5">
        <f t="shared" ref="B29:B31" si="3">B30</f>
        <v>209805</v>
      </c>
      <c r="C29" s="9">
        <f>H5</f>
        <v>3312.5</v>
      </c>
      <c r="D29" s="5">
        <f>(B22-B18-B16)/4</f>
        <v>195760</v>
      </c>
      <c r="E29" s="5">
        <f>E17</f>
        <v>500000</v>
      </c>
      <c r="F29" s="5">
        <f>9000000/4</f>
        <v>2250000</v>
      </c>
      <c r="G29" s="9">
        <f t="shared" si="2"/>
        <v>3501205.71</v>
      </c>
      <c r="H29" s="3"/>
      <c r="I29" s="3"/>
      <c r="J29" s="3"/>
      <c r="K29" s="3"/>
      <c r="L29" s="31">
        <f>sum(D28:D32)</f>
        <v>6283040</v>
      </c>
      <c r="M29" s="31">
        <f>sum(D37:D40)</f>
        <v>861344</v>
      </c>
      <c r="N29" s="31">
        <f>sum(D45:D48)</f>
        <v>947478.4</v>
      </c>
      <c r="O29" s="15">
        <f t="shared" si="1"/>
        <v>8091862.4</v>
      </c>
      <c r="P29" s="6" t="s">
        <v>63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>
        <f t="shared" ref="A30:A32" si="5">A29</f>
        <v>342328.21</v>
      </c>
      <c r="B30" s="5">
        <f t="shared" si="3"/>
        <v>209805</v>
      </c>
      <c r="C30" s="5">
        <v>3312.5</v>
      </c>
      <c r="D30" s="5">
        <f t="shared" ref="D30:F30" si="4">D29</f>
        <v>195760</v>
      </c>
      <c r="E30" s="5">
        <f t="shared" si="4"/>
        <v>500000</v>
      </c>
      <c r="F30" s="5">
        <f t="shared" si="4"/>
        <v>2250000</v>
      </c>
      <c r="G30" s="9">
        <f t="shared" si="2"/>
        <v>3501205.71</v>
      </c>
      <c r="H30" s="3"/>
      <c r="I30" s="3"/>
      <c r="J30" s="3"/>
      <c r="K30" s="3"/>
      <c r="L30" s="31">
        <f>sum(E29:E32)</f>
        <v>2000000</v>
      </c>
      <c r="M30" s="31">
        <f>sum(E37:E40)</f>
        <v>2000000</v>
      </c>
      <c r="N30" s="31">
        <f>sum(E45:E48)</f>
        <v>2000000</v>
      </c>
      <c r="O30" s="15">
        <f t="shared" si="1"/>
        <v>6000000</v>
      </c>
      <c r="P30" s="6" t="s">
        <v>64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>
        <f t="shared" si="5"/>
        <v>342328.21</v>
      </c>
      <c r="B31" s="5">
        <f t="shared" si="3"/>
        <v>209805</v>
      </c>
      <c r="C31" s="5">
        <v>3312.5</v>
      </c>
      <c r="D31" s="5">
        <f t="shared" ref="D31:F31" si="6">D30</f>
        <v>195760</v>
      </c>
      <c r="E31" s="5">
        <f t="shared" si="6"/>
        <v>500000</v>
      </c>
      <c r="F31" s="5">
        <f t="shared" si="6"/>
        <v>2250000</v>
      </c>
      <c r="G31" s="9">
        <f t="shared" si="2"/>
        <v>3501205.71</v>
      </c>
      <c r="H31" s="3"/>
      <c r="I31" s="3"/>
      <c r="J31" s="3"/>
      <c r="K31" s="3"/>
      <c r="L31" s="17">
        <v>9000000.0</v>
      </c>
      <c r="M31" s="31">
        <f>sum(F37:F40)</f>
        <v>9000000</v>
      </c>
      <c r="N31" s="31">
        <f>sum(F45:F48)</f>
        <v>9000000</v>
      </c>
      <c r="O31" s="15">
        <f t="shared" si="1"/>
        <v>27000000</v>
      </c>
      <c r="P31" s="6" t="s">
        <v>60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>
        <f t="shared" si="5"/>
        <v>342328.21</v>
      </c>
      <c r="B32" s="9">
        <f>E12/4</f>
        <v>209805</v>
      </c>
      <c r="C32" s="5">
        <v>3312.5</v>
      </c>
      <c r="D32" s="5">
        <f t="shared" ref="D32:F32" si="7">D31</f>
        <v>195760</v>
      </c>
      <c r="E32" s="5">
        <f t="shared" si="7"/>
        <v>500000</v>
      </c>
      <c r="F32" s="5">
        <f t="shared" si="7"/>
        <v>2250000</v>
      </c>
      <c r="G32" s="9">
        <f t="shared" si="2"/>
        <v>3501205.71</v>
      </c>
      <c r="H32" s="3"/>
      <c r="I32" s="3"/>
      <c r="J32" s="3"/>
      <c r="K32" s="3"/>
      <c r="L32" s="15">
        <f>SUM(L27:L31)</f>
        <v>20394042.84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5">
        <f t="shared" ref="A33:B33" si="8">sum(A28:A32)</f>
        <v>1419312.84</v>
      </c>
      <c r="B33" s="15">
        <f t="shared" si="8"/>
        <v>1678440</v>
      </c>
      <c r="C33" s="15">
        <f>sum(C29:C32)</f>
        <v>13250</v>
      </c>
      <c r="D33" s="15">
        <f>sum(D28:D32)</f>
        <v>6283040</v>
      </c>
      <c r="E33" s="27">
        <f t="shared" ref="E33:F33" si="9">sum(E29:E32)</f>
        <v>2000000</v>
      </c>
      <c r="F33" s="15">
        <f t="shared" si="9"/>
        <v>9000000</v>
      </c>
      <c r="G33" s="11">
        <f>sum(G28:G32)</f>
        <v>20394042.84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15"/>
      <c r="C34" s="3"/>
      <c r="D34" s="3"/>
      <c r="E34" s="1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8" t="s">
        <v>65</v>
      </c>
      <c r="B35" s="15"/>
      <c r="C35" s="3"/>
      <c r="D35" s="3"/>
      <c r="E35" s="15"/>
      <c r="F35" s="3"/>
      <c r="G35" s="3"/>
      <c r="H35" s="3"/>
      <c r="I35" s="3"/>
      <c r="J35" s="15">
        <f>sum(G33,G41,G49)</f>
        <v>49335183.6</v>
      </c>
      <c r="K35" s="15">
        <f>sum(O27:O31)</f>
        <v>49335183.6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9" t="s">
        <v>55</v>
      </c>
      <c r="B36" s="30" t="s">
        <v>56</v>
      </c>
      <c r="C36" s="29" t="s">
        <v>57</v>
      </c>
      <c r="D36" s="29" t="s">
        <v>58</v>
      </c>
      <c r="E36" s="30" t="s">
        <v>59</v>
      </c>
      <c r="F36" s="29" t="s">
        <v>60</v>
      </c>
      <c r="G36" s="29" t="s">
        <v>24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>
        <f>A29+10%*A29</f>
        <v>376561.031</v>
      </c>
      <c r="B37" s="5">
        <f>B32+10%*B29</f>
        <v>230785.5</v>
      </c>
      <c r="C37" s="9">
        <f>C29+10%*C29</f>
        <v>3643.75</v>
      </c>
      <c r="D37" s="5">
        <f>D29 +10%*D29</f>
        <v>215336</v>
      </c>
      <c r="E37" s="5">
        <f>E29</f>
        <v>500000</v>
      </c>
      <c r="F37" s="5">
        <f>9000000/4</f>
        <v>2250000</v>
      </c>
      <c r="G37" s="9">
        <f t="shared" ref="G37:G40" si="11">sum(A37:F37)</f>
        <v>3576326.281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>
        <f t="shared" ref="A38:F38" si="10">A37</f>
        <v>376561.031</v>
      </c>
      <c r="B38" s="5">
        <f t="shared" si="10"/>
        <v>230785.5</v>
      </c>
      <c r="C38" s="5">
        <f t="shared" si="10"/>
        <v>3643.75</v>
      </c>
      <c r="D38" s="5">
        <f t="shared" si="10"/>
        <v>215336</v>
      </c>
      <c r="E38" s="5">
        <f t="shared" si="10"/>
        <v>500000</v>
      </c>
      <c r="F38" s="5">
        <f t="shared" si="10"/>
        <v>2250000</v>
      </c>
      <c r="G38" s="9">
        <f t="shared" si="11"/>
        <v>3576326.281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>
        <f t="shared" ref="A39:F39" si="12">A38</f>
        <v>376561.031</v>
      </c>
      <c r="B39" s="5">
        <f t="shared" si="12"/>
        <v>230785.5</v>
      </c>
      <c r="C39" s="5">
        <f t="shared" si="12"/>
        <v>3643.75</v>
      </c>
      <c r="D39" s="5">
        <f t="shared" si="12"/>
        <v>215336</v>
      </c>
      <c r="E39" s="5">
        <f t="shared" si="12"/>
        <v>500000</v>
      </c>
      <c r="F39" s="5">
        <f t="shared" si="12"/>
        <v>2250000</v>
      </c>
      <c r="G39" s="9">
        <f t="shared" si="11"/>
        <v>3576326.281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>
        <f t="shared" ref="A40:F40" si="13">A39</f>
        <v>376561.031</v>
      </c>
      <c r="B40" s="9">
        <f t="shared" si="13"/>
        <v>230785.5</v>
      </c>
      <c r="C40" s="5">
        <f t="shared" si="13"/>
        <v>3643.75</v>
      </c>
      <c r="D40" s="5">
        <f t="shared" si="13"/>
        <v>215336</v>
      </c>
      <c r="E40" s="5">
        <f t="shared" si="13"/>
        <v>500000</v>
      </c>
      <c r="F40" s="5">
        <f t="shared" si="13"/>
        <v>2250000</v>
      </c>
      <c r="G40" s="9">
        <f t="shared" si="11"/>
        <v>3576326.281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5">
        <f t="shared" ref="B41:C41" si="14">sum(B37:B40)</f>
        <v>923142</v>
      </c>
      <c r="C41" s="15">
        <f t="shared" si="14"/>
        <v>14575</v>
      </c>
      <c r="D41" s="3"/>
      <c r="E41" s="27"/>
      <c r="F41" s="3"/>
      <c r="G41" s="11">
        <f>sum(G37:G40)</f>
        <v>14305305.12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15"/>
      <c r="C42" s="3"/>
      <c r="D42" s="3"/>
      <c r="E42" s="1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8" t="s">
        <v>66</v>
      </c>
      <c r="B43" s="15"/>
      <c r="C43" s="3"/>
      <c r="D43" s="3"/>
      <c r="E43" s="1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9" t="s">
        <v>55</v>
      </c>
      <c r="B44" s="30" t="s">
        <v>56</v>
      </c>
      <c r="C44" s="29" t="s">
        <v>57</v>
      </c>
      <c r="D44" s="29" t="s">
        <v>58</v>
      </c>
      <c r="E44" s="30" t="s">
        <v>59</v>
      </c>
      <c r="F44" s="29" t="s">
        <v>60</v>
      </c>
      <c r="G44" s="29" t="s">
        <v>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>
        <f t="shared" ref="A45:B45" si="15">A37+10%*A37</f>
        <v>414217.1341</v>
      </c>
      <c r="B45" s="5">
        <f t="shared" si="15"/>
        <v>253864.05</v>
      </c>
      <c r="C45" s="5">
        <f>C37*10%+C37</f>
        <v>4008.125</v>
      </c>
      <c r="D45" s="5">
        <f>D37+10%*D37</f>
        <v>236869.6</v>
      </c>
      <c r="E45" s="5">
        <f>E29</f>
        <v>500000</v>
      </c>
      <c r="F45" s="5">
        <f>9000000/4</f>
        <v>2250000</v>
      </c>
      <c r="G45" s="9">
        <f t="shared" ref="G45:G48" si="17">sum(A45:F45)</f>
        <v>3658958.909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>
        <f t="shared" ref="A46:F46" si="16">A45</f>
        <v>414217.1341</v>
      </c>
      <c r="B46" s="5">
        <f t="shared" si="16"/>
        <v>253864.05</v>
      </c>
      <c r="C46" s="5">
        <f t="shared" si="16"/>
        <v>4008.125</v>
      </c>
      <c r="D46" s="5">
        <f t="shared" si="16"/>
        <v>236869.6</v>
      </c>
      <c r="E46" s="5">
        <f t="shared" si="16"/>
        <v>500000</v>
      </c>
      <c r="F46" s="5">
        <f t="shared" si="16"/>
        <v>2250000</v>
      </c>
      <c r="G46" s="9">
        <f t="shared" si="17"/>
        <v>3658958.909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>
        <f t="shared" ref="A47:F47" si="18">A46</f>
        <v>414217.1341</v>
      </c>
      <c r="B47" s="5">
        <f t="shared" si="18"/>
        <v>253864.05</v>
      </c>
      <c r="C47" s="5">
        <f t="shared" si="18"/>
        <v>4008.125</v>
      </c>
      <c r="D47" s="5">
        <f t="shared" si="18"/>
        <v>236869.6</v>
      </c>
      <c r="E47" s="5">
        <f t="shared" si="18"/>
        <v>500000</v>
      </c>
      <c r="F47" s="5">
        <f t="shared" si="18"/>
        <v>2250000</v>
      </c>
      <c r="G47" s="9">
        <f t="shared" si="17"/>
        <v>3658958.909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>
        <f t="shared" ref="A48:F48" si="19">A47</f>
        <v>414217.1341</v>
      </c>
      <c r="B48" s="5">
        <f t="shared" si="19"/>
        <v>253864.05</v>
      </c>
      <c r="C48" s="5">
        <f t="shared" si="19"/>
        <v>4008.125</v>
      </c>
      <c r="D48" s="5">
        <f t="shared" si="19"/>
        <v>236869.6</v>
      </c>
      <c r="E48" s="5">
        <f t="shared" si="19"/>
        <v>500000</v>
      </c>
      <c r="F48" s="5">
        <f t="shared" si="19"/>
        <v>2250000</v>
      </c>
      <c r="G48" s="9">
        <f t="shared" si="17"/>
        <v>3658958.909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15"/>
      <c r="C49" s="3"/>
      <c r="D49" s="3"/>
      <c r="E49" s="27"/>
      <c r="F49" s="3"/>
      <c r="G49" s="34">
        <f>sum(G45:G48)</f>
        <v>14635835.64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15"/>
      <c r="C50" s="3"/>
      <c r="D50" s="3"/>
      <c r="E50" s="1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15"/>
      <c r="C51" s="3"/>
      <c r="D51" s="3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15"/>
      <c r="C52" s="3"/>
      <c r="D52" s="3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15"/>
      <c r="C53" s="3"/>
      <c r="D53" s="3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15"/>
      <c r="C54" s="3"/>
      <c r="D54" s="3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15"/>
      <c r="C55" s="3"/>
      <c r="D55" s="3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15"/>
      <c r="C56" s="3"/>
      <c r="D56" s="3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15"/>
      <c r="C57" s="3"/>
      <c r="D57" s="3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15"/>
      <c r="C58" s="3"/>
      <c r="D58" s="3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15"/>
      <c r="C59" s="3"/>
      <c r="D59" s="3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15"/>
      <c r="C60" s="3"/>
      <c r="D60" s="3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15"/>
      <c r="C61" s="3"/>
      <c r="D61" s="3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15"/>
      <c r="C62" s="3"/>
      <c r="D62" s="3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15"/>
      <c r="C63" s="3"/>
      <c r="D63" s="3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15"/>
      <c r="C64" s="3"/>
      <c r="D64" s="3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15"/>
      <c r="C65" s="3"/>
      <c r="D65" s="3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15"/>
      <c r="C66" s="3"/>
      <c r="D66" s="3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15"/>
      <c r="C67" s="3"/>
      <c r="D67" s="3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15"/>
      <c r="C68" s="3"/>
      <c r="D68" s="3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15"/>
      <c r="C69" s="3"/>
      <c r="D69" s="3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15"/>
      <c r="C70" s="3"/>
      <c r="D70" s="3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15"/>
      <c r="C71" s="3"/>
      <c r="D71" s="3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5"/>
      <c r="C72" s="3"/>
      <c r="D72" s="3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15"/>
      <c r="C73" s="3"/>
      <c r="D73" s="3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15"/>
      <c r="C74" s="3"/>
      <c r="D74" s="3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15"/>
      <c r="C75" s="3"/>
      <c r="D75" s="3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15"/>
      <c r="C76" s="3"/>
      <c r="D76" s="3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15"/>
      <c r="C77" s="3"/>
      <c r="D77" s="3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15"/>
      <c r="C78" s="3"/>
      <c r="D78" s="3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15"/>
      <c r="C79" s="3"/>
      <c r="D79" s="3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15"/>
      <c r="C80" s="3"/>
      <c r="D80" s="3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15"/>
      <c r="C81" s="3"/>
      <c r="D81" s="3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5"/>
      <c r="C82" s="3"/>
      <c r="D82" s="3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5"/>
      <c r="C83" s="3"/>
      <c r="D83" s="3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5"/>
      <c r="C84" s="3"/>
      <c r="D84" s="3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5"/>
      <c r="C85" s="3"/>
      <c r="D85" s="3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5"/>
      <c r="C86" s="3"/>
      <c r="D86" s="3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5"/>
      <c r="C87" s="3"/>
      <c r="D87" s="3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5"/>
      <c r="C88" s="3"/>
      <c r="D88" s="3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5"/>
      <c r="C89" s="3"/>
      <c r="D89" s="3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5"/>
      <c r="C90" s="3"/>
      <c r="D90" s="3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5"/>
      <c r="C91" s="3"/>
      <c r="D91" s="3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5"/>
      <c r="C92" s="3"/>
      <c r="D92" s="3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5"/>
      <c r="C93" s="3"/>
      <c r="D93" s="3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5"/>
      <c r="C94" s="3"/>
      <c r="D94" s="3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5"/>
      <c r="C95" s="3"/>
      <c r="D95" s="3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5"/>
      <c r="C96" s="3"/>
      <c r="D96" s="3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5"/>
      <c r="C97" s="3"/>
      <c r="D97" s="3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5"/>
      <c r="C98" s="3"/>
      <c r="D98" s="3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5"/>
      <c r="C99" s="3"/>
      <c r="D99" s="3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5"/>
      <c r="C100" s="3"/>
      <c r="D100" s="3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5"/>
      <c r="C101" s="3"/>
      <c r="D101" s="3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5"/>
      <c r="C102" s="3"/>
      <c r="D102" s="3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5"/>
      <c r="C103" s="3"/>
      <c r="D103" s="3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5"/>
      <c r="C104" s="3"/>
      <c r="D104" s="3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5"/>
      <c r="C105" s="3"/>
      <c r="D105" s="3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5"/>
      <c r="C106" s="3"/>
      <c r="D106" s="3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5"/>
      <c r="C107" s="3"/>
      <c r="D107" s="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5"/>
      <c r="C108" s="3"/>
      <c r="D108" s="3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5"/>
      <c r="C109" s="3"/>
      <c r="D109" s="3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5"/>
      <c r="C110" s="3"/>
      <c r="D110" s="3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5"/>
      <c r="C111" s="3"/>
      <c r="D111" s="3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5"/>
      <c r="C112" s="3"/>
      <c r="D112" s="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5"/>
      <c r="C113" s="3"/>
      <c r="D113" s="3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5"/>
      <c r="C114" s="3"/>
      <c r="D114" s="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5"/>
      <c r="C115" s="3"/>
      <c r="D115" s="3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5"/>
      <c r="C116" s="3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5"/>
      <c r="C117" s="3"/>
      <c r="D117" s="3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5"/>
      <c r="C118" s="3"/>
      <c r="D118" s="3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5"/>
      <c r="C119" s="3"/>
      <c r="D119" s="3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5"/>
      <c r="C120" s="3"/>
      <c r="D120" s="3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5"/>
      <c r="C121" s="3"/>
      <c r="D121" s="3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5"/>
      <c r="C122" s="3"/>
      <c r="D122" s="3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5"/>
      <c r="C123" s="3"/>
      <c r="D123" s="3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5"/>
      <c r="C124" s="3"/>
      <c r="D124" s="3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5"/>
      <c r="C125" s="3"/>
      <c r="D125" s="3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5"/>
      <c r="C126" s="3"/>
      <c r="D126" s="3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5"/>
      <c r="C127" s="3"/>
      <c r="D127" s="3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5"/>
      <c r="C128" s="3"/>
      <c r="D128" s="3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5"/>
      <c r="C129" s="3"/>
      <c r="D129" s="3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5"/>
      <c r="C130" s="3"/>
      <c r="D130" s="3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5"/>
      <c r="C131" s="3"/>
      <c r="D131" s="3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5"/>
      <c r="C132" s="3"/>
      <c r="D132" s="3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5"/>
      <c r="C133" s="3"/>
      <c r="D133" s="3"/>
      <c r="E133" s="1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5"/>
      <c r="C134" s="3"/>
      <c r="D134" s="3"/>
      <c r="E134" s="1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5"/>
      <c r="C135" s="3"/>
      <c r="D135" s="3"/>
      <c r="E135" s="1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5"/>
      <c r="C136" s="3"/>
      <c r="D136" s="3"/>
      <c r="E136" s="1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5"/>
      <c r="C137" s="3"/>
      <c r="D137" s="3"/>
      <c r="E137" s="1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5"/>
      <c r="C138" s="3"/>
      <c r="D138" s="3"/>
      <c r="E138" s="1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5"/>
      <c r="C139" s="3"/>
      <c r="D139" s="3"/>
      <c r="E139" s="1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5"/>
      <c r="C140" s="3"/>
      <c r="D140" s="3"/>
      <c r="E140" s="1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5"/>
      <c r="C141" s="3"/>
      <c r="D141" s="3"/>
      <c r="E141" s="1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5"/>
      <c r="C142" s="3"/>
      <c r="D142" s="3"/>
      <c r="E142" s="1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5"/>
      <c r="C143" s="3"/>
      <c r="D143" s="3"/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5"/>
      <c r="C144" s="3"/>
      <c r="D144" s="3"/>
      <c r="E144" s="1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5"/>
      <c r="C145" s="3"/>
      <c r="D145" s="3"/>
      <c r="E145" s="1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5"/>
      <c r="C146" s="3"/>
      <c r="D146" s="3"/>
      <c r="E146" s="1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5"/>
      <c r="C147" s="3"/>
      <c r="D147" s="3"/>
      <c r="E147" s="1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5"/>
      <c r="C148" s="3"/>
      <c r="D148" s="3"/>
      <c r="E148" s="1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5"/>
      <c r="C149" s="3"/>
      <c r="D149" s="3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5"/>
      <c r="C150" s="3"/>
      <c r="D150" s="3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5"/>
      <c r="C151" s="3"/>
      <c r="D151" s="3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5"/>
      <c r="C152" s="3"/>
      <c r="D152" s="3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5"/>
      <c r="C153" s="3"/>
      <c r="D153" s="3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5"/>
      <c r="C154" s="3"/>
      <c r="D154" s="3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5"/>
      <c r="C155" s="3"/>
      <c r="D155" s="3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5"/>
      <c r="C156" s="3"/>
      <c r="D156" s="3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5"/>
      <c r="C157" s="3"/>
      <c r="D157" s="3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5"/>
      <c r="C158" s="3"/>
      <c r="D158" s="3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5"/>
      <c r="C159" s="3"/>
      <c r="D159" s="3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5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5"/>
      <c r="C161" s="3"/>
      <c r="D161" s="3"/>
      <c r="E161" s="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5"/>
      <c r="C162" s="3"/>
      <c r="D162" s="3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5"/>
      <c r="C163" s="3"/>
      <c r="D163" s="3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5"/>
      <c r="C164" s="3"/>
      <c r="D164" s="3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5"/>
      <c r="C165" s="3"/>
      <c r="D165" s="3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5"/>
      <c r="C166" s="3"/>
      <c r="D166" s="3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5"/>
      <c r="C167" s="3"/>
      <c r="D167" s="3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5"/>
      <c r="C168" s="3"/>
      <c r="D168" s="3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5"/>
      <c r="C169" s="3"/>
      <c r="D169" s="3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5"/>
      <c r="C170" s="3"/>
      <c r="D170" s="3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5"/>
      <c r="C171" s="3"/>
      <c r="D171" s="3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5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5"/>
      <c r="C173" s="3"/>
      <c r="D173" s="3"/>
      <c r="E173" s="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5"/>
      <c r="C174" s="3"/>
      <c r="D174" s="3"/>
      <c r="E174" s="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5"/>
      <c r="C175" s="3"/>
      <c r="D175" s="3"/>
      <c r="E175" s="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5"/>
      <c r="C176" s="3"/>
      <c r="D176" s="3"/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5"/>
      <c r="C177" s="3"/>
      <c r="D177" s="3"/>
      <c r="E177" s="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5"/>
      <c r="C178" s="3"/>
      <c r="D178" s="3"/>
      <c r="E178" s="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5"/>
      <c r="C179" s="3"/>
      <c r="D179" s="3"/>
      <c r="E179" s="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5"/>
      <c r="C180" s="3"/>
      <c r="D180" s="3"/>
      <c r="E180" s="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5"/>
      <c r="C181" s="3"/>
      <c r="D181" s="3"/>
      <c r="E181" s="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5"/>
      <c r="C182" s="3"/>
      <c r="D182" s="3"/>
      <c r="E182" s="1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5"/>
      <c r="C183" s="3"/>
      <c r="D183" s="3"/>
      <c r="E183" s="1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5"/>
      <c r="C184" s="3"/>
      <c r="D184" s="3"/>
      <c r="E184" s="1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5"/>
      <c r="C185" s="3"/>
      <c r="D185" s="3"/>
      <c r="E185" s="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5"/>
      <c r="C186" s="3"/>
      <c r="D186" s="3"/>
      <c r="E186" s="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5"/>
      <c r="C187" s="3"/>
      <c r="D187" s="3"/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5"/>
      <c r="C188" s="3"/>
      <c r="D188" s="3"/>
      <c r="E188" s="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5"/>
      <c r="C189" s="3"/>
      <c r="D189" s="3"/>
      <c r="E189" s="1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5"/>
      <c r="C190" s="3"/>
      <c r="D190" s="3"/>
      <c r="E190" s="1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5"/>
      <c r="C191" s="3"/>
      <c r="D191" s="3"/>
      <c r="E191" s="1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5"/>
      <c r="C192" s="3"/>
      <c r="D192" s="3"/>
      <c r="E192" s="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5"/>
      <c r="C193" s="3"/>
      <c r="D193" s="3"/>
      <c r="E193" s="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5"/>
      <c r="C194" s="3"/>
      <c r="D194" s="3"/>
      <c r="E194" s="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5"/>
      <c r="C195" s="3"/>
      <c r="D195" s="3"/>
      <c r="E195" s="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5"/>
      <c r="C196" s="3"/>
      <c r="D196" s="3"/>
      <c r="E196" s="1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5"/>
      <c r="C197" s="3"/>
      <c r="D197" s="3"/>
      <c r="E197" s="1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5"/>
      <c r="C198" s="3"/>
      <c r="D198" s="3"/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5"/>
      <c r="C199" s="3"/>
      <c r="D199" s="3"/>
      <c r="E199" s="1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5"/>
      <c r="C200" s="3"/>
      <c r="D200" s="3"/>
      <c r="E200" s="1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5"/>
      <c r="C201" s="3"/>
      <c r="D201" s="3"/>
      <c r="E201" s="1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5"/>
      <c r="C202" s="3"/>
      <c r="D202" s="3"/>
      <c r="E202" s="1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5"/>
      <c r="C203" s="3"/>
      <c r="D203" s="3"/>
      <c r="E203" s="1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5"/>
      <c r="C204" s="3"/>
      <c r="D204" s="3"/>
      <c r="E204" s="1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5"/>
      <c r="C205" s="3"/>
      <c r="D205" s="3"/>
      <c r="E205" s="1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5"/>
      <c r="C206" s="3"/>
      <c r="D206" s="3"/>
      <c r="E206" s="1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5"/>
      <c r="C207" s="3"/>
      <c r="D207" s="3"/>
      <c r="E207" s="1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5"/>
      <c r="C208" s="3"/>
      <c r="D208" s="3"/>
      <c r="E208" s="1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5"/>
      <c r="C209" s="3"/>
      <c r="D209" s="3"/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5"/>
      <c r="C210" s="3"/>
      <c r="D210" s="3"/>
      <c r="E210" s="1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5"/>
      <c r="C211" s="3"/>
      <c r="D211" s="3"/>
      <c r="E211" s="1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5"/>
      <c r="C212" s="3"/>
      <c r="D212" s="3"/>
      <c r="E212" s="1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5"/>
      <c r="C213" s="3"/>
      <c r="D213" s="3"/>
      <c r="E213" s="1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5"/>
      <c r="C214" s="3"/>
      <c r="D214" s="3"/>
      <c r="E214" s="1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5"/>
      <c r="C215" s="3"/>
      <c r="D215" s="3"/>
      <c r="E215" s="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5"/>
      <c r="C216" s="3"/>
      <c r="D216" s="3"/>
      <c r="E216" s="1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5"/>
      <c r="C217" s="3"/>
      <c r="D217" s="3"/>
      <c r="E217" s="1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5"/>
      <c r="C218" s="3"/>
      <c r="D218" s="3"/>
      <c r="E218" s="1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5"/>
      <c r="C219" s="3"/>
      <c r="D219" s="3"/>
      <c r="E219" s="1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5"/>
      <c r="C220" s="3"/>
      <c r="D220" s="3"/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5"/>
      <c r="C221" s="3"/>
      <c r="D221" s="3"/>
      <c r="E221" s="1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5"/>
      <c r="C222" s="3"/>
      <c r="D222" s="3"/>
      <c r="E222" s="1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5"/>
      <c r="C223" s="3"/>
      <c r="D223" s="3"/>
      <c r="E223" s="1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5"/>
      <c r="C224" s="3"/>
      <c r="D224" s="3"/>
      <c r="E224" s="1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5"/>
      <c r="C225" s="3"/>
      <c r="D225" s="3"/>
      <c r="E225" s="1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5"/>
      <c r="C226" s="3"/>
      <c r="D226" s="3"/>
      <c r="E226" s="1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5"/>
      <c r="C227" s="3"/>
      <c r="D227" s="3"/>
      <c r="E227" s="1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5"/>
      <c r="C228" s="3"/>
      <c r="D228" s="3"/>
      <c r="E228" s="1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5"/>
      <c r="C229" s="3"/>
      <c r="D229" s="3"/>
      <c r="E229" s="1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5"/>
      <c r="C230" s="3"/>
      <c r="D230" s="3"/>
      <c r="E230" s="1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5"/>
      <c r="C231" s="3"/>
      <c r="D231" s="3"/>
      <c r="E231" s="1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5"/>
      <c r="C232" s="3"/>
      <c r="D232" s="3"/>
      <c r="E232" s="1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5"/>
      <c r="C233" s="3"/>
      <c r="D233" s="3"/>
      <c r="E233" s="1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5"/>
      <c r="C234" s="3"/>
      <c r="D234" s="3"/>
      <c r="E234" s="1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5"/>
      <c r="C235" s="3"/>
      <c r="D235" s="3"/>
      <c r="E235" s="1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5"/>
      <c r="C236" s="3"/>
      <c r="D236" s="3"/>
      <c r="E236" s="1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5"/>
      <c r="C237" s="3"/>
      <c r="D237" s="3"/>
      <c r="E237" s="1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5"/>
      <c r="C238" s="3"/>
      <c r="D238" s="3"/>
      <c r="E238" s="1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5"/>
      <c r="C239" s="3"/>
      <c r="D239" s="3"/>
      <c r="E239" s="1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5"/>
      <c r="C240" s="3"/>
      <c r="D240" s="3"/>
      <c r="E240" s="1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5"/>
      <c r="C241" s="3"/>
      <c r="D241" s="3"/>
      <c r="E241" s="1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5"/>
      <c r="C242" s="3"/>
      <c r="D242" s="3"/>
      <c r="E242" s="1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5"/>
      <c r="C243" s="3"/>
      <c r="D243" s="3"/>
      <c r="E243" s="1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5"/>
      <c r="C244" s="3"/>
      <c r="D244" s="3"/>
      <c r="E244" s="1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5"/>
      <c r="C245" s="3"/>
      <c r="D245" s="3"/>
      <c r="E245" s="1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5"/>
      <c r="C246" s="3"/>
      <c r="D246" s="3"/>
      <c r="E246" s="1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5"/>
      <c r="C247" s="3"/>
      <c r="D247" s="3"/>
      <c r="E247" s="1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5"/>
      <c r="C248" s="3"/>
      <c r="D248" s="3"/>
      <c r="E248" s="1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5"/>
      <c r="C249" s="3"/>
      <c r="D249" s="3"/>
      <c r="E249" s="1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5"/>
      <c r="C250" s="3"/>
      <c r="D250" s="3"/>
      <c r="E250" s="1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5"/>
      <c r="C251" s="3"/>
      <c r="D251" s="3"/>
      <c r="E251" s="1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5"/>
      <c r="C252" s="3"/>
      <c r="D252" s="3"/>
      <c r="E252" s="1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5"/>
      <c r="C253" s="3"/>
      <c r="D253" s="3"/>
      <c r="E253" s="1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5"/>
      <c r="C254" s="3"/>
      <c r="D254" s="3"/>
      <c r="E254" s="1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5"/>
      <c r="C255" s="3"/>
      <c r="D255" s="3"/>
      <c r="E255" s="1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5"/>
      <c r="C256" s="3"/>
      <c r="D256" s="3"/>
      <c r="E256" s="1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5"/>
      <c r="C257" s="3"/>
      <c r="D257" s="3"/>
      <c r="E257" s="1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5"/>
      <c r="C258" s="3"/>
      <c r="D258" s="3"/>
      <c r="E258" s="1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5"/>
      <c r="C259" s="3"/>
      <c r="D259" s="3"/>
      <c r="E259" s="1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5"/>
      <c r="C260" s="3"/>
      <c r="D260" s="3"/>
      <c r="E260" s="1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5"/>
      <c r="C261" s="3"/>
      <c r="D261" s="3"/>
      <c r="E261" s="1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5"/>
      <c r="C262" s="3"/>
      <c r="D262" s="3"/>
      <c r="E262" s="1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5"/>
      <c r="C263" s="3"/>
      <c r="D263" s="3"/>
      <c r="E263" s="1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5"/>
      <c r="C264" s="3"/>
      <c r="D264" s="3"/>
      <c r="E264" s="1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5"/>
      <c r="C265" s="3"/>
      <c r="D265" s="3"/>
      <c r="E265" s="1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5"/>
      <c r="C266" s="3"/>
      <c r="D266" s="3"/>
      <c r="E266" s="1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5"/>
      <c r="C267" s="3"/>
      <c r="D267" s="3"/>
      <c r="E267" s="1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5"/>
      <c r="C268" s="3"/>
      <c r="D268" s="3"/>
      <c r="E268" s="1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5"/>
      <c r="C269" s="3"/>
      <c r="D269" s="3"/>
      <c r="E269" s="1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5"/>
      <c r="C270" s="3"/>
      <c r="D270" s="3"/>
      <c r="E270" s="1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5"/>
      <c r="C271" s="3"/>
      <c r="D271" s="3"/>
      <c r="E271" s="1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5"/>
      <c r="C272" s="3"/>
      <c r="D272" s="3"/>
      <c r="E272" s="1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5"/>
      <c r="C273" s="3"/>
      <c r="D273" s="3"/>
      <c r="E273" s="1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5"/>
      <c r="C274" s="3"/>
      <c r="D274" s="3"/>
      <c r="E274" s="1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5"/>
      <c r="C275" s="3"/>
      <c r="D275" s="3"/>
      <c r="E275" s="1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5"/>
      <c r="C276" s="3"/>
      <c r="D276" s="3"/>
      <c r="E276" s="1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5"/>
      <c r="C277" s="3"/>
      <c r="D277" s="3"/>
      <c r="E277" s="1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5"/>
      <c r="C278" s="3"/>
      <c r="D278" s="3"/>
      <c r="E278" s="1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5"/>
      <c r="C279" s="3"/>
      <c r="D279" s="3"/>
      <c r="E279" s="1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5"/>
      <c r="C280" s="3"/>
      <c r="D280" s="3"/>
      <c r="E280" s="1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5"/>
      <c r="C281" s="3"/>
      <c r="D281" s="3"/>
      <c r="E281" s="1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5"/>
      <c r="C282" s="3"/>
      <c r="D282" s="3"/>
      <c r="E282" s="1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5"/>
      <c r="C283" s="3"/>
      <c r="D283" s="3"/>
      <c r="E283" s="1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5"/>
      <c r="C284" s="3"/>
      <c r="D284" s="3"/>
      <c r="E284" s="1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5"/>
      <c r="C285" s="3"/>
      <c r="D285" s="3"/>
      <c r="E285" s="1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5"/>
      <c r="C286" s="3"/>
      <c r="D286" s="3"/>
      <c r="E286" s="1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5"/>
      <c r="C287" s="3"/>
      <c r="D287" s="3"/>
      <c r="E287" s="1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5"/>
      <c r="C288" s="3"/>
      <c r="D288" s="3"/>
      <c r="E288" s="1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5"/>
      <c r="C289" s="3"/>
      <c r="D289" s="3"/>
      <c r="E289" s="1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5"/>
      <c r="C290" s="3"/>
      <c r="D290" s="3"/>
      <c r="E290" s="1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5"/>
      <c r="C291" s="3"/>
      <c r="D291" s="3"/>
      <c r="E291" s="1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5"/>
      <c r="C292" s="3"/>
      <c r="D292" s="3"/>
      <c r="E292" s="1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5"/>
      <c r="C293" s="3"/>
      <c r="D293" s="3"/>
      <c r="E293" s="1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5"/>
      <c r="C294" s="3"/>
      <c r="D294" s="3"/>
      <c r="E294" s="1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5"/>
      <c r="C295" s="3"/>
      <c r="D295" s="3"/>
      <c r="E295" s="1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5"/>
      <c r="C296" s="3"/>
      <c r="D296" s="3"/>
      <c r="E296" s="1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5"/>
      <c r="C297" s="3"/>
      <c r="D297" s="3"/>
      <c r="E297" s="1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5"/>
      <c r="C298" s="3"/>
      <c r="D298" s="3"/>
      <c r="E298" s="1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5"/>
      <c r="C299" s="3"/>
      <c r="D299" s="3"/>
      <c r="E299" s="1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5"/>
      <c r="C300" s="3"/>
      <c r="D300" s="3"/>
      <c r="E300" s="1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5"/>
      <c r="C301" s="3"/>
      <c r="D301" s="3"/>
      <c r="E301" s="1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5"/>
      <c r="C302" s="3"/>
      <c r="D302" s="3"/>
      <c r="E302" s="1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5"/>
      <c r="C303" s="3"/>
      <c r="D303" s="3"/>
      <c r="E303" s="1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5"/>
      <c r="C304" s="3"/>
      <c r="D304" s="3"/>
      <c r="E304" s="1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5"/>
      <c r="C305" s="3"/>
      <c r="D305" s="3"/>
      <c r="E305" s="1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5"/>
      <c r="C306" s="3"/>
      <c r="D306" s="3"/>
      <c r="E306" s="1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5"/>
      <c r="C307" s="3"/>
      <c r="D307" s="3"/>
      <c r="E307" s="1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5"/>
      <c r="C308" s="3"/>
      <c r="D308" s="3"/>
      <c r="E308" s="1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5"/>
      <c r="C309" s="3"/>
      <c r="D309" s="3"/>
      <c r="E309" s="1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5"/>
      <c r="C310" s="3"/>
      <c r="D310" s="3"/>
      <c r="E310" s="1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5"/>
      <c r="C311" s="3"/>
      <c r="D311" s="3"/>
      <c r="E311" s="1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5"/>
      <c r="C312" s="3"/>
      <c r="D312" s="3"/>
      <c r="E312" s="1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5"/>
      <c r="C313" s="3"/>
      <c r="D313" s="3"/>
      <c r="E313" s="1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5"/>
      <c r="C314" s="3"/>
      <c r="D314" s="3"/>
      <c r="E314" s="1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5"/>
      <c r="C315" s="3"/>
      <c r="D315" s="3"/>
      <c r="E315" s="1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5"/>
      <c r="C316" s="3"/>
      <c r="D316" s="3"/>
      <c r="E316" s="1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5"/>
      <c r="C317" s="3"/>
      <c r="D317" s="3"/>
      <c r="E317" s="1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5"/>
      <c r="C318" s="3"/>
      <c r="D318" s="3"/>
      <c r="E318" s="1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5"/>
      <c r="C319" s="3"/>
      <c r="D319" s="3"/>
      <c r="E319" s="1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5"/>
      <c r="C320" s="3"/>
      <c r="D320" s="3"/>
      <c r="E320" s="1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5"/>
      <c r="C321" s="3"/>
      <c r="D321" s="3"/>
      <c r="E321" s="1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5"/>
      <c r="C322" s="3"/>
      <c r="D322" s="3"/>
      <c r="E322" s="1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5"/>
      <c r="C323" s="3"/>
      <c r="D323" s="3"/>
      <c r="E323" s="1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5"/>
      <c r="C324" s="3"/>
      <c r="D324" s="3"/>
      <c r="E324" s="1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5"/>
      <c r="C325" s="3"/>
      <c r="D325" s="3"/>
      <c r="E325" s="1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5"/>
      <c r="C326" s="3"/>
      <c r="D326" s="3"/>
      <c r="E326" s="1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5"/>
      <c r="C327" s="3"/>
      <c r="D327" s="3"/>
      <c r="E327" s="1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5"/>
      <c r="C328" s="3"/>
      <c r="D328" s="3"/>
      <c r="E328" s="1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5"/>
      <c r="C329" s="3"/>
      <c r="D329" s="3"/>
      <c r="E329" s="1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5"/>
      <c r="C330" s="3"/>
      <c r="D330" s="3"/>
      <c r="E330" s="1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5"/>
      <c r="C331" s="3"/>
      <c r="D331" s="3"/>
      <c r="E331" s="1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5"/>
      <c r="C332" s="3"/>
      <c r="D332" s="3"/>
      <c r="E332" s="1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5"/>
      <c r="C333" s="3"/>
      <c r="D333" s="3"/>
      <c r="E333" s="1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5"/>
      <c r="C334" s="3"/>
      <c r="D334" s="3"/>
      <c r="E334" s="1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5"/>
      <c r="C335" s="3"/>
      <c r="D335" s="3"/>
      <c r="E335" s="1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5"/>
      <c r="C336" s="3"/>
      <c r="D336" s="3"/>
      <c r="E336" s="1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5"/>
      <c r="C337" s="3"/>
      <c r="D337" s="3"/>
      <c r="E337" s="1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5"/>
      <c r="C338" s="3"/>
      <c r="D338" s="3"/>
      <c r="E338" s="1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5"/>
      <c r="C339" s="3"/>
      <c r="D339" s="3"/>
      <c r="E339" s="1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5"/>
      <c r="C340" s="3"/>
      <c r="D340" s="3"/>
      <c r="E340" s="1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5"/>
      <c r="C341" s="3"/>
      <c r="D341" s="3"/>
      <c r="E341" s="1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5"/>
      <c r="C342" s="3"/>
      <c r="D342" s="3"/>
      <c r="E342" s="1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5"/>
      <c r="C343" s="3"/>
      <c r="D343" s="3"/>
      <c r="E343" s="1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5"/>
      <c r="C344" s="3"/>
      <c r="D344" s="3"/>
      <c r="E344" s="1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5"/>
      <c r="C345" s="3"/>
      <c r="D345" s="3"/>
      <c r="E345" s="1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5"/>
      <c r="C346" s="3"/>
      <c r="D346" s="3"/>
      <c r="E346" s="1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5"/>
      <c r="C347" s="3"/>
      <c r="D347" s="3"/>
      <c r="E347" s="1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5"/>
      <c r="C348" s="3"/>
      <c r="D348" s="3"/>
      <c r="E348" s="1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5"/>
      <c r="C349" s="3"/>
      <c r="D349" s="3"/>
      <c r="E349" s="1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5"/>
      <c r="C350" s="3"/>
      <c r="D350" s="3"/>
      <c r="E350" s="1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5"/>
      <c r="C351" s="3"/>
      <c r="D351" s="3"/>
      <c r="E351" s="1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5"/>
      <c r="C352" s="3"/>
      <c r="D352" s="3"/>
      <c r="E352" s="1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5"/>
      <c r="C353" s="3"/>
      <c r="D353" s="3"/>
      <c r="E353" s="1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5"/>
      <c r="C354" s="3"/>
      <c r="D354" s="3"/>
      <c r="E354" s="1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5"/>
      <c r="C355" s="3"/>
      <c r="D355" s="3"/>
      <c r="E355" s="1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5"/>
      <c r="C356" s="3"/>
      <c r="D356" s="3"/>
      <c r="E356" s="1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5"/>
      <c r="C357" s="3"/>
      <c r="D357" s="3"/>
      <c r="E357" s="1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5"/>
      <c r="C358" s="3"/>
      <c r="D358" s="3"/>
      <c r="E358" s="1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5"/>
      <c r="C359" s="3"/>
      <c r="D359" s="3"/>
      <c r="E359" s="1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5"/>
      <c r="C360" s="3"/>
      <c r="D360" s="3"/>
      <c r="E360" s="1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5"/>
      <c r="C361" s="3"/>
      <c r="D361" s="3"/>
      <c r="E361" s="1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5"/>
      <c r="C362" s="3"/>
      <c r="D362" s="3"/>
      <c r="E362" s="1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5"/>
      <c r="C363" s="3"/>
      <c r="D363" s="3"/>
      <c r="E363" s="1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5"/>
      <c r="C364" s="3"/>
      <c r="D364" s="3"/>
      <c r="E364" s="1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5"/>
      <c r="C365" s="3"/>
      <c r="D365" s="3"/>
      <c r="E365" s="1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5"/>
      <c r="C366" s="3"/>
      <c r="D366" s="3"/>
      <c r="E366" s="1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5"/>
      <c r="C367" s="3"/>
      <c r="D367" s="3"/>
      <c r="E367" s="1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5"/>
      <c r="C368" s="3"/>
      <c r="D368" s="3"/>
      <c r="E368" s="1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5"/>
      <c r="C369" s="3"/>
      <c r="D369" s="3"/>
      <c r="E369" s="1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5"/>
      <c r="C370" s="3"/>
      <c r="D370" s="3"/>
      <c r="E370" s="1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5"/>
      <c r="C371" s="3"/>
      <c r="D371" s="3"/>
      <c r="E371" s="1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5"/>
      <c r="C372" s="3"/>
      <c r="D372" s="3"/>
      <c r="E372" s="1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5"/>
      <c r="C373" s="3"/>
      <c r="D373" s="3"/>
      <c r="E373" s="1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5"/>
      <c r="C374" s="3"/>
      <c r="D374" s="3"/>
      <c r="E374" s="1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5"/>
      <c r="C375" s="3"/>
      <c r="D375" s="3"/>
      <c r="E375" s="1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5"/>
      <c r="C376" s="3"/>
      <c r="D376" s="3"/>
      <c r="E376" s="1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5"/>
      <c r="C377" s="3"/>
      <c r="D377" s="3"/>
      <c r="E377" s="1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5"/>
      <c r="C378" s="3"/>
      <c r="D378" s="3"/>
      <c r="E378" s="1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5"/>
      <c r="C379" s="3"/>
      <c r="D379" s="3"/>
      <c r="E379" s="1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5"/>
      <c r="C380" s="3"/>
      <c r="D380" s="3"/>
      <c r="E380" s="1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5"/>
      <c r="C381" s="3"/>
      <c r="D381" s="3"/>
      <c r="E381" s="1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5"/>
      <c r="C382" s="3"/>
      <c r="D382" s="3"/>
      <c r="E382" s="1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5"/>
      <c r="C383" s="3"/>
      <c r="D383" s="3"/>
      <c r="E383" s="1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5"/>
      <c r="C384" s="3"/>
      <c r="D384" s="3"/>
      <c r="E384" s="1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5"/>
      <c r="C385" s="3"/>
      <c r="D385" s="3"/>
      <c r="E385" s="1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5"/>
      <c r="C386" s="3"/>
      <c r="D386" s="3"/>
      <c r="E386" s="1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5"/>
      <c r="C387" s="3"/>
      <c r="D387" s="3"/>
      <c r="E387" s="1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5"/>
      <c r="C388" s="3"/>
      <c r="D388" s="3"/>
      <c r="E388" s="1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5"/>
      <c r="C389" s="3"/>
      <c r="D389" s="3"/>
      <c r="E389" s="1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5"/>
      <c r="C390" s="3"/>
      <c r="D390" s="3"/>
      <c r="E390" s="1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5"/>
      <c r="C391" s="3"/>
      <c r="D391" s="3"/>
      <c r="E391" s="1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5"/>
      <c r="C392" s="3"/>
      <c r="D392" s="3"/>
      <c r="E392" s="1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5"/>
      <c r="C393" s="3"/>
      <c r="D393" s="3"/>
      <c r="E393" s="1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5"/>
      <c r="C394" s="3"/>
      <c r="D394" s="3"/>
      <c r="E394" s="1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5"/>
      <c r="C395" s="3"/>
      <c r="D395" s="3"/>
      <c r="E395" s="1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5"/>
      <c r="C396" s="3"/>
      <c r="D396" s="3"/>
      <c r="E396" s="1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5"/>
      <c r="C397" s="3"/>
      <c r="D397" s="3"/>
      <c r="E397" s="1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5"/>
      <c r="C398" s="3"/>
      <c r="D398" s="3"/>
      <c r="E398" s="1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5"/>
      <c r="C399" s="3"/>
      <c r="D399" s="3"/>
      <c r="E399" s="1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5"/>
      <c r="C400" s="3"/>
      <c r="D400" s="3"/>
      <c r="E400" s="1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5"/>
      <c r="C401" s="3"/>
      <c r="D401" s="3"/>
      <c r="E401" s="1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5"/>
      <c r="C402" s="3"/>
      <c r="D402" s="3"/>
      <c r="E402" s="1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5"/>
      <c r="C403" s="3"/>
      <c r="D403" s="3"/>
      <c r="E403" s="1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5"/>
      <c r="C404" s="3"/>
      <c r="D404" s="3"/>
      <c r="E404" s="1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5"/>
      <c r="C405" s="3"/>
      <c r="D405" s="3"/>
      <c r="E405" s="1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5"/>
      <c r="C406" s="3"/>
      <c r="D406" s="3"/>
      <c r="E406" s="1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5"/>
      <c r="C407" s="3"/>
      <c r="D407" s="3"/>
      <c r="E407" s="1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5"/>
      <c r="C408" s="3"/>
      <c r="D408" s="3"/>
      <c r="E408" s="1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5"/>
      <c r="C409" s="3"/>
      <c r="D409" s="3"/>
      <c r="E409" s="1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5"/>
      <c r="C410" s="3"/>
      <c r="D410" s="3"/>
      <c r="E410" s="1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5"/>
      <c r="C411" s="3"/>
      <c r="D411" s="3"/>
      <c r="E411" s="1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5"/>
      <c r="C412" s="3"/>
      <c r="D412" s="3"/>
      <c r="E412" s="1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5"/>
      <c r="C413" s="3"/>
      <c r="D413" s="3"/>
      <c r="E413" s="1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5"/>
      <c r="C414" s="3"/>
      <c r="D414" s="3"/>
      <c r="E414" s="1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5"/>
      <c r="C415" s="3"/>
      <c r="D415" s="3"/>
      <c r="E415" s="1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5"/>
      <c r="C416" s="3"/>
      <c r="D416" s="3"/>
      <c r="E416" s="1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5"/>
      <c r="C417" s="3"/>
      <c r="D417" s="3"/>
      <c r="E417" s="1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5"/>
      <c r="C418" s="3"/>
      <c r="D418" s="3"/>
      <c r="E418" s="1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5"/>
      <c r="C419" s="3"/>
      <c r="D419" s="3"/>
      <c r="E419" s="1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5"/>
      <c r="C420" s="3"/>
      <c r="D420" s="3"/>
      <c r="E420" s="1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5"/>
      <c r="C421" s="3"/>
      <c r="D421" s="3"/>
      <c r="E421" s="1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5"/>
      <c r="C422" s="3"/>
      <c r="D422" s="3"/>
      <c r="E422" s="1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5"/>
      <c r="C423" s="3"/>
      <c r="D423" s="3"/>
      <c r="E423" s="1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5"/>
      <c r="C424" s="3"/>
      <c r="D424" s="3"/>
      <c r="E424" s="1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5"/>
      <c r="C425" s="3"/>
      <c r="D425" s="3"/>
      <c r="E425" s="1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5"/>
      <c r="C426" s="3"/>
      <c r="D426" s="3"/>
      <c r="E426" s="1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5"/>
      <c r="C427" s="3"/>
      <c r="D427" s="3"/>
      <c r="E427" s="1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5"/>
      <c r="C428" s="3"/>
      <c r="D428" s="3"/>
      <c r="E428" s="1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5"/>
      <c r="C429" s="3"/>
      <c r="D429" s="3"/>
      <c r="E429" s="1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5"/>
      <c r="C430" s="3"/>
      <c r="D430" s="3"/>
      <c r="E430" s="1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5"/>
      <c r="C431" s="3"/>
      <c r="D431" s="3"/>
      <c r="E431" s="1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5"/>
      <c r="C432" s="3"/>
      <c r="D432" s="3"/>
      <c r="E432" s="1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5"/>
      <c r="C433" s="3"/>
      <c r="D433" s="3"/>
      <c r="E433" s="1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5"/>
      <c r="C434" s="3"/>
      <c r="D434" s="3"/>
      <c r="E434" s="1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5"/>
      <c r="C435" s="3"/>
      <c r="D435" s="3"/>
      <c r="E435" s="1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5"/>
      <c r="C436" s="3"/>
      <c r="D436" s="3"/>
      <c r="E436" s="1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5"/>
      <c r="C437" s="3"/>
      <c r="D437" s="3"/>
      <c r="E437" s="1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5"/>
      <c r="C438" s="3"/>
      <c r="D438" s="3"/>
      <c r="E438" s="1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5"/>
      <c r="C439" s="3"/>
      <c r="D439" s="3"/>
      <c r="E439" s="1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5"/>
      <c r="C440" s="3"/>
      <c r="D440" s="3"/>
      <c r="E440" s="1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5"/>
      <c r="C441" s="3"/>
      <c r="D441" s="3"/>
      <c r="E441" s="1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5"/>
      <c r="C442" s="3"/>
      <c r="D442" s="3"/>
      <c r="E442" s="1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5"/>
      <c r="C443" s="3"/>
      <c r="D443" s="3"/>
      <c r="E443" s="1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5"/>
      <c r="C444" s="3"/>
      <c r="D444" s="3"/>
      <c r="E444" s="1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5"/>
      <c r="C445" s="3"/>
      <c r="D445" s="3"/>
      <c r="E445" s="1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5"/>
      <c r="C446" s="3"/>
      <c r="D446" s="3"/>
      <c r="E446" s="1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5"/>
      <c r="C447" s="3"/>
      <c r="D447" s="3"/>
      <c r="E447" s="1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5"/>
      <c r="C448" s="3"/>
      <c r="D448" s="3"/>
      <c r="E448" s="1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5"/>
      <c r="C449" s="3"/>
      <c r="D449" s="3"/>
      <c r="E449" s="1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5"/>
      <c r="C450" s="3"/>
      <c r="D450" s="3"/>
      <c r="E450" s="1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5"/>
      <c r="C451" s="3"/>
      <c r="D451" s="3"/>
      <c r="E451" s="1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5"/>
      <c r="C452" s="3"/>
      <c r="D452" s="3"/>
      <c r="E452" s="1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5"/>
      <c r="C453" s="3"/>
      <c r="D453" s="3"/>
      <c r="E453" s="1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5"/>
      <c r="C454" s="3"/>
      <c r="D454" s="3"/>
      <c r="E454" s="1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5"/>
      <c r="C455" s="3"/>
      <c r="D455" s="3"/>
      <c r="E455" s="1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5"/>
      <c r="C456" s="3"/>
      <c r="D456" s="3"/>
      <c r="E456" s="1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5"/>
      <c r="C457" s="3"/>
      <c r="D457" s="3"/>
      <c r="E457" s="1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5"/>
      <c r="C458" s="3"/>
      <c r="D458" s="3"/>
      <c r="E458" s="1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5"/>
      <c r="C459" s="3"/>
      <c r="D459" s="3"/>
      <c r="E459" s="1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5"/>
      <c r="C460" s="3"/>
      <c r="D460" s="3"/>
      <c r="E460" s="1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5"/>
      <c r="C461" s="3"/>
      <c r="D461" s="3"/>
      <c r="E461" s="1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5"/>
      <c r="C462" s="3"/>
      <c r="D462" s="3"/>
      <c r="E462" s="1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5"/>
      <c r="C463" s="3"/>
      <c r="D463" s="3"/>
      <c r="E463" s="1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5"/>
      <c r="C464" s="3"/>
      <c r="D464" s="3"/>
      <c r="E464" s="1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5"/>
      <c r="C465" s="3"/>
      <c r="D465" s="3"/>
      <c r="E465" s="1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5"/>
      <c r="C466" s="3"/>
      <c r="D466" s="3"/>
      <c r="E466" s="1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5"/>
      <c r="C467" s="3"/>
      <c r="D467" s="3"/>
      <c r="E467" s="1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5"/>
      <c r="C468" s="3"/>
      <c r="D468" s="3"/>
      <c r="E468" s="1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5"/>
      <c r="C469" s="3"/>
      <c r="D469" s="3"/>
      <c r="E469" s="1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5"/>
      <c r="C470" s="3"/>
      <c r="D470" s="3"/>
      <c r="E470" s="1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5"/>
      <c r="C471" s="3"/>
      <c r="D471" s="3"/>
      <c r="E471" s="1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5"/>
      <c r="C472" s="3"/>
      <c r="D472" s="3"/>
      <c r="E472" s="1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5"/>
      <c r="C473" s="3"/>
      <c r="D473" s="3"/>
      <c r="E473" s="1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5"/>
      <c r="C474" s="3"/>
      <c r="D474" s="3"/>
      <c r="E474" s="1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5"/>
      <c r="C475" s="3"/>
      <c r="D475" s="3"/>
      <c r="E475" s="1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5"/>
      <c r="C476" s="3"/>
      <c r="D476" s="3"/>
      <c r="E476" s="1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5"/>
      <c r="C477" s="3"/>
      <c r="D477" s="3"/>
      <c r="E477" s="1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5"/>
      <c r="C478" s="3"/>
      <c r="D478" s="3"/>
      <c r="E478" s="1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5"/>
      <c r="C479" s="3"/>
      <c r="D479" s="3"/>
      <c r="E479" s="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5"/>
      <c r="C480" s="3"/>
      <c r="D480" s="3"/>
      <c r="E480" s="1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5"/>
      <c r="C481" s="3"/>
      <c r="D481" s="3"/>
      <c r="E481" s="1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5"/>
      <c r="C482" s="3"/>
      <c r="D482" s="3"/>
      <c r="E482" s="1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5"/>
      <c r="C483" s="3"/>
      <c r="D483" s="3"/>
      <c r="E483" s="1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5"/>
      <c r="C484" s="3"/>
      <c r="D484" s="3"/>
      <c r="E484" s="1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5"/>
      <c r="C485" s="3"/>
      <c r="D485" s="3"/>
      <c r="E485" s="1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5"/>
      <c r="C486" s="3"/>
      <c r="D486" s="3"/>
      <c r="E486" s="1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5"/>
      <c r="C487" s="3"/>
      <c r="D487" s="3"/>
      <c r="E487" s="1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5"/>
      <c r="C488" s="3"/>
      <c r="D488" s="3"/>
      <c r="E488" s="1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5"/>
      <c r="C489" s="3"/>
      <c r="D489" s="3"/>
      <c r="E489" s="1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5"/>
      <c r="C490" s="3"/>
      <c r="D490" s="3"/>
      <c r="E490" s="1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5"/>
      <c r="C491" s="3"/>
      <c r="D491" s="3"/>
      <c r="E491" s="1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5"/>
      <c r="C492" s="3"/>
      <c r="D492" s="3"/>
      <c r="E492" s="1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5"/>
      <c r="C493" s="3"/>
      <c r="D493" s="3"/>
      <c r="E493" s="1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5"/>
      <c r="C494" s="3"/>
      <c r="D494" s="3"/>
      <c r="E494" s="1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5"/>
      <c r="C495" s="3"/>
      <c r="D495" s="3"/>
      <c r="E495" s="1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5"/>
      <c r="C496" s="3"/>
      <c r="D496" s="3"/>
      <c r="E496" s="1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5"/>
      <c r="C497" s="3"/>
      <c r="D497" s="3"/>
      <c r="E497" s="1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5"/>
      <c r="C498" s="3"/>
      <c r="D498" s="3"/>
      <c r="E498" s="1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5"/>
      <c r="C499" s="3"/>
      <c r="D499" s="3"/>
      <c r="E499" s="1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5"/>
      <c r="C500" s="3"/>
      <c r="D500" s="3"/>
      <c r="E500" s="1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5"/>
      <c r="C501" s="3"/>
      <c r="D501" s="3"/>
      <c r="E501" s="1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5"/>
      <c r="C502" s="3"/>
      <c r="D502" s="3"/>
      <c r="E502" s="1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5"/>
      <c r="C503" s="3"/>
      <c r="D503" s="3"/>
      <c r="E503" s="1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5"/>
      <c r="C504" s="3"/>
      <c r="D504" s="3"/>
      <c r="E504" s="1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5"/>
      <c r="C505" s="3"/>
      <c r="D505" s="3"/>
      <c r="E505" s="1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5"/>
      <c r="C506" s="3"/>
      <c r="D506" s="3"/>
      <c r="E506" s="1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5"/>
      <c r="C507" s="3"/>
      <c r="D507" s="3"/>
      <c r="E507" s="1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5"/>
      <c r="C508" s="3"/>
      <c r="D508" s="3"/>
      <c r="E508" s="1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5"/>
      <c r="C509" s="3"/>
      <c r="D509" s="3"/>
      <c r="E509" s="1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5"/>
      <c r="C510" s="3"/>
      <c r="D510" s="3"/>
      <c r="E510" s="1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5"/>
      <c r="C511" s="3"/>
      <c r="D511" s="3"/>
      <c r="E511" s="1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5"/>
      <c r="C512" s="3"/>
      <c r="D512" s="3"/>
      <c r="E512" s="1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5"/>
      <c r="C513" s="3"/>
      <c r="D513" s="3"/>
      <c r="E513" s="1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5"/>
      <c r="C514" s="3"/>
      <c r="D514" s="3"/>
      <c r="E514" s="1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5"/>
      <c r="C515" s="3"/>
      <c r="D515" s="3"/>
      <c r="E515" s="1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5"/>
      <c r="C516" s="3"/>
      <c r="D516" s="3"/>
      <c r="E516" s="1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5"/>
      <c r="C517" s="3"/>
      <c r="D517" s="3"/>
      <c r="E517" s="1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5"/>
      <c r="C518" s="3"/>
      <c r="D518" s="3"/>
      <c r="E518" s="1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5"/>
      <c r="C519" s="3"/>
      <c r="D519" s="3"/>
      <c r="E519" s="1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5"/>
      <c r="C520" s="3"/>
      <c r="D520" s="3"/>
      <c r="E520" s="1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5"/>
      <c r="C521" s="3"/>
      <c r="D521" s="3"/>
      <c r="E521" s="1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5"/>
      <c r="C522" s="3"/>
      <c r="D522" s="3"/>
      <c r="E522" s="1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5"/>
      <c r="C523" s="3"/>
      <c r="D523" s="3"/>
      <c r="E523" s="1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5"/>
      <c r="C524" s="3"/>
      <c r="D524" s="3"/>
      <c r="E524" s="1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5"/>
      <c r="C525" s="3"/>
      <c r="D525" s="3"/>
      <c r="E525" s="1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5"/>
      <c r="C526" s="3"/>
      <c r="D526" s="3"/>
      <c r="E526" s="1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5"/>
      <c r="C527" s="3"/>
      <c r="D527" s="3"/>
      <c r="E527" s="1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5"/>
      <c r="C528" s="3"/>
      <c r="D528" s="3"/>
      <c r="E528" s="1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5"/>
      <c r="C529" s="3"/>
      <c r="D529" s="3"/>
      <c r="E529" s="1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5"/>
      <c r="C530" s="3"/>
      <c r="D530" s="3"/>
      <c r="E530" s="1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5"/>
      <c r="C531" s="3"/>
      <c r="D531" s="3"/>
      <c r="E531" s="1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5"/>
      <c r="C532" s="3"/>
      <c r="D532" s="3"/>
      <c r="E532" s="1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5"/>
      <c r="C533" s="3"/>
      <c r="D533" s="3"/>
      <c r="E533" s="1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5"/>
      <c r="C534" s="3"/>
      <c r="D534" s="3"/>
      <c r="E534" s="1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5"/>
      <c r="C535" s="3"/>
      <c r="D535" s="3"/>
      <c r="E535" s="1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5"/>
      <c r="C536" s="3"/>
      <c r="D536" s="3"/>
      <c r="E536" s="1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5"/>
      <c r="C537" s="3"/>
      <c r="D537" s="3"/>
      <c r="E537" s="1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5"/>
      <c r="C538" s="3"/>
      <c r="D538" s="3"/>
      <c r="E538" s="1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5"/>
      <c r="C539" s="3"/>
      <c r="D539" s="3"/>
      <c r="E539" s="1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5"/>
      <c r="C540" s="3"/>
      <c r="D540" s="3"/>
      <c r="E540" s="1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5"/>
      <c r="C541" s="3"/>
      <c r="D541" s="3"/>
      <c r="E541" s="1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5"/>
      <c r="C542" s="3"/>
      <c r="D542" s="3"/>
      <c r="E542" s="1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5"/>
      <c r="C543" s="3"/>
      <c r="D543" s="3"/>
      <c r="E543" s="1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5"/>
      <c r="C544" s="3"/>
      <c r="D544" s="3"/>
      <c r="E544" s="1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5"/>
      <c r="C545" s="3"/>
      <c r="D545" s="3"/>
      <c r="E545" s="1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5"/>
      <c r="C546" s="3"/>
      <c r="D546" s="3"/>
      <c r="E546" s="1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5"/>
      <c r="C547" s="3"/>
      <c r="D547" s="3"/>
      <c r="E547" s="1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5"/>
      <c r="C548" s="3"/>
      <c r="D548" s="3"/>
      <c r="E548" s="1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5"/>
      <c r="C549" s="3"/>
      <c r="D549" s="3"/>
      <c r="E549" s="1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5"/>
      <c r="C550" s="3"/>
      <c r="D550" s="3"/>
      <c r="E550" s="1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5"/>
      <c r="C551" s="3"/>
      <c r="D551" s="3"/>
      <c r="E551" s="1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5"/>
      <c r="C552" s="3"/>
      <c r="D552" s="3"/>
      <c r="E552" s="1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5"/>
      <c r="C553" s="3"/>
      <c r="D553" s="3"/>
      <c r="E553" s="1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5"/>
      <c r="C554" s="3"/>
      <c r="D554" s="3"/>
      <c r="E554" s="1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5"/>
      <c r="C555" s="3"/>
      <c r="D555" s="3"/>
      <c r="E555" s="1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5"/>
      <c r="C556" s="3"/>
      <c r="D556" s="3"/>
      <c r="E556" s="1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5"/>
      <c r="C557" s="3"/>
      <c r="D557" s="3"/>
      <c r="E557" s="1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5"/>
      <c r="C558" s="3"/>
      <c r="D558" s="3"/>
      <c r="E558" s="1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5"/>
      <c r="C559" s="3"/>
      <c r="D559" s="3"/>
      <c r="E559" s="1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5"/>
      <c r="C560" s="3"/>
      <c r="D560" s="3"/>
      <c r="E560" s="1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5"/>
      <c r="C561" s="3"/>
      <c r="D561" s="3"/>
      <c r="E561" s="1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5"/>
      <c r="C562" s="3"/>
      <c r="D562" s="3"/>
      <c r="E562" s="1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5"/>
      <c r="C563" s="3"/>
      <c r="D563" s="3"/>
      <c r="E563" s="1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5"/>
      <c r="C564" s="3"/>
      <c r="D564" s="3"/>
      <c r="E564" s="1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5"/>
      <c r="C565" s="3"/>
      <c r="D565" s="3"/>
      <c r="E565" s="1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5"/>
      <c r="C566" s="3"/>
      <c r="D566" s="3"/>
      <c r="E566" s="1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5"/>
      <c r="C567" s="3"/>
      <c r="D567" s="3"/>
      <c r="E567" s="1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5"/>
      <c r="C568" s="3"/>
      <c r="D568" s="3"/>
      <c r="E568" s="1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5"/>
      <c r="C569" s="3"/>
      <c r="D569" s="3"/>
      <c r="E569" s="1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5"/>
      <c r="C570" s="3"/>
      <c r="D570" s="3"/>
      <c r="E570" s="1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5"/>
      <c r="C571" s="3"/>
      <c r="D571" s="3"/>
      <c r="E571" s="1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5"/>
      <c r="C572" s="3"/>
      <c r="D572" s="3"/>
      <c r="E572" s="1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5"/>
      <c r="C573" s="3"/>
      <c r="D573" s="3"/>
      <c r="E573" s="1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5"/>
      <c r="C574" s="3"/>
      <c r="D574" s="3"/>
      <c r="E574" s="1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5"/>
      <c r="C575" s="3"/>
      <c r="D575" s="3"/>
      <c r="E575" s="1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5"/>
      <c r="C576" s="3"/>
      <c r="D576" s="3"/>
      <c r="E576" s="1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5"/>
      <c r="C577" s="3"/>
      <c r="D577" s="3"/>
      <c r="E577" s="1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5"/>
      <c r="C578" s="3"/>
      <c r="D578" s="3"/>
      <c r="E578" s="1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5"/>
      <c r="C579" s="3"/>
      <c r="D579" s="3"/>
      <c r="E579" s="1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5"/>
      <c r="C580" s="3"/>
      <c r="D580" s="3"/>
      <c r="E580" s="1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5"/>
      <c r="C581" s="3"/>
      <c r="D581" s="3"/>
      <c r="E581" s="1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5"/>
      <c r="C582" s="3"/>
      <c r="D582" s="3"/>
      <c r="E582" s="1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5"/>
      <c r="C583" s="3"/>
      <c r="D583" s="3"/>
      <c r="E583" s="1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5"/>
      <c r="C584" s="3"/>
      <c r="D584" s="3"/>
      <c r="E584" s="1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5"/>
      <c r="C585" s="3"/>
      <c r="D585" s="3"/>
      <c r="E585" s="1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5"/>
      <c r="C586" s="3"/>
      <c r="D586" s="3"/>
      <c r="E586" s="1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5"/>
      <c r="C587" s="3"/>
      <c r="D587" s="3"/>
      <c r="E587" s="1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5"/>
      <c r="C588" s="3"/>
      <c r="D588" s="3"/>
      <c r="E588" s="1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5"/>
      <c r="C589" s="3"/>
      <c r="D589" s="3"/>
      <c r="E589" s="1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5"/>
      <c r="C590" s="3"/>
      <c r="D590" s="3"/>
      <c r="E590" s="1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5"/>
      <c r="C591" s="3"/>
      <c r="D591" s="3"/>
      <c r="E591" s="1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5"/>
      <c r="C592" s="3"/>
      <c r="D592" s="3"/>
      <c r="E592" s="1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5"/>
      <c r="C593" s="3"/>
      <c r="D593" s="3"/>
      <c r="E593" s="1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5"/>
      <c r="C594" s="3"/>
      <c r="D594" s="3"/>
      <c r="E594" s="1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5"/>
      <c r="C595" s="3"/>
      <c r="D595" s="3"/>
      <c r="E595" s="1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5"/>
      <c r="C596" s="3"/>
      <c r="D596" s="3"/>
      <c r="E596" s="1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5"/>
      <c r="C597" s="3"/>
      <c r="D597" s="3"/>
      <c r="E597" s="1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5"/>
      <c r="C598" s="3"/>
      <c r="D598" s="3"/>
      <c r="E598" s="1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5"/>
      <c r="C599" s="3"/>
      <c r="D599" s="3"/>
      <c r="E599" s="1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5"/>
      <c r="C600" s="3"/>
      <c r="D600" s="3"/>
      <c r="E600" s="1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5"/>
      <c r="C601" s="3"/>
      <c r="D601" s="3"/>
      <c r="E601" s="1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5"/>
      <c r="C602" s="3"/>
      <c r="D602" s="3"/>
      <c r="E602" s="1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5"/>
      <c r="C603" s="3"/>
      <c r="D603" s="3"/>
      <c r="E603" s="1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5"/>
      <c r="C604" s="3"/>
      <c r="D604" s="3"/>
      <c r="E604" s="1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5"/>
      <c r="C605" s="3"/>
      <c r="D605" s="3"/>
      <c r="E605" s="1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5"/>
      <c r="C606" s="3"/>
      <c r="D606" s="3"/>
      <c r="E606" s="1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5"/>
      <c r="C607" s="3"/>
      <c r="D607" s="3"/>
      <c r="E607" s="1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5"/>
      <c r="C608" s="3"/>
      <c r="D608" s="3"/>
      <c r="E608" s="1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5"/>
      <c r="C609" s="3"/>
      <c r="D609" s="3"/>
      <c r="E609" s="1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5"/>
      <c r="C610" s="3"/>
      <c r="D610" s="3"/>
      <c r="E610" s="1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5"/>
      <c r="C611" s="3"/>
      <c r="D611" s="3"/>
      <c r="E611" s="1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5"/>
      <c r="C612" s="3"/>
      <c r="D612" s="3"/>
      <c r="E612" s="1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5"/>
      <c r="C613" s="3"/>
      <c r="D613" s="3"/>
      <c r="E613" s="1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5"/>
      <c r="C614" s="3"/>
      <c r="D614" s="3"/>
      <c r="E614" s="1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5"/>
      <c r="C615" s="3"/>
      <c r="D615" s="3"/>
      <c r="E615" s="1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5"/>
      <c r="C616" s="3"/>
      <c r="D616" s="3"/>
      <c r="E616" s="1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5"/>
      <c r="C617" s="3"/>
      <c r="D617" s="3"/>
      <c r="E617" s="1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5"/>
      <c r="C618" s="3"/>
      <c r="D618" s="3"/>
      <c r="E618" s="1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5"/>
      <c r="C619" s="3"/>
      <c r="D619" s="3"/>
      <c r="E619" s="1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5"/>
      <c r="C620" s="3"/>
      <c r="D620" s="3"/>
      <c r="E620" s="1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5"/>
      <c r="C621" s="3"/>
      <c r="D621" s="3"/>
      <c r="E621" s="1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5"/>
      <c r="C622" s="3"/>
      <c r="D622" s="3"/>
      <c r="E622" s="1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5"/>
      <c r="C623" s="3"/>
      <c r="D623" s="3"/>
      <c r="E623" s="1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5"/>
      <c r="C624" s="3"/>
      <c r="D624" s="3"/>
      <c r="E624" s="1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5"/>
      <c r="C625" s="3"/>
      <c r="D625" s="3"/>
      <c r="E625" s="1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5"/>
      <c r="C626" s="3"/>
      <c r="D626" s="3"/>
      <c r="E626" s="1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5"/>
      <c r="C627" s="3"/>
      <c r="D627" s="3"/>
      <c r="E627" s="1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5"/>
      <c r="C628" s="3"/>
      <c r="D628" s="3"/>
      <c r="E628" s="1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5"/>
      <c r="C629" s="3"/>
      <c r="D629" s="3"/>
      <c r="E629" s="1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5"/>
      <c r="C630" s="3"/>
      <c r="D630" s="3"/>
      <c r="E630" s="1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5"/>
      <c r="C631" s="3"/>
      <c r="D631" s="3"/>
      <c r="E631" s="1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5"/>
      <c r="C632" s="3"/>
      <c r="D632" s="3"/>
      <c r="E632" s="1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5"/>
      <c r="C633" s="3"/>
      <c r="D633" s="3"/>
      <c r="E633" s="1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5"/>
      <c r="C634" s="3"/>
      <c r="D634" s="3"/>
      <c r="E634" s="1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5"/>
      <c r="C635" s="3"/>
      <c r="D635" s="3"/>
      <c r="E635" s="1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5"/>
      <c r="C636" s="3"/>
      <c r="D636" s="3"/>
      <c r="E636" s="1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5"/>
      <c r="C637" s="3"/>
      <c r="D637" s="3"/>
      <c r="E637" s="1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5"/>
      <c r="C638" s="3"/>
      <c r="D638" s="3"/>
      <c r="E638" s="1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5"/>
      <c r="C639" s="3"/>
      <c r="D639" s="3"/>
      <c r="E639" s="1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5"/>
      <c r="C640" s="3"/>
      <c r="D640" s="3"/>
      <c r="E640" s="1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5"/>
      <c r="C641" s="3"/>
      <c r="D641" s="3"/>
      <c r="E641" s="1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5"/>
      <c r="C642" s="3"/>
      <c r="D642" s="3"/>
      <c r="E642" s="1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5"/>
      <c r="C643" s="3"/>
      <c r="D643" s="3"/>
      <c r="E643" s="1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5"/>
      <c r="C644" s="3"/>
      <c r="D644" s="3"/>
      <c r="E644" s="1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5"/>
      <c r="C645" s="3"/>
      <c r="D645" s="3"/>
      <c r="E645" s="1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5"/>
      <c r="C646" s="3"/>
      <c r="D646" s="3"/>
      <c r="E646" s="1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5"/>
      <c r="C647" s="3"/>
      <c r="D647" s="3"/>
      <c r="E647" s="1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5"/>
      <c r="C648" s="3"/>
      <c r="D648" s="3"/>
      <c r="E648" s="1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5"/>
      <c r="C649" s="3"/>
      <c r="D649" s="3"/>
      <c r="E649" s="1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5"/>
      <c r="C650" s="3"/>
      <c r="D650" s="3"/>
      <c r="E650" s="1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5"/>
      <c r="C651" s="3"/>
      <c r="D651" s="3"/>
      <c r="E651" s="1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5"/>
      <c r="C652" s="3"/>
      <c r="D652" s="3"/>
      <c r="E652" s="1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5"/>
      <c r="C653" s="3"/>
      <c r="D653" s="3"/>
      <c r="E653" s="1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5"/>
      <c r="C654" s="3"/>
      <c r="D654" s="3"/>
      <c r="E654" s="1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5"/>
      <c r="C655" s="3"/>
      <c r="D655" s="3"/>
      <c r="E655" s="1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5"/>
      <c r="C656" s="3"/>
      <c r="D656" s="3"/>
      <c r="E656" s="1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5"/>
      <c r="C657" s="3"/>
      <c r="D657" s="3"/>
      <c r="E657" s="1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5"/>
      <c r="C658" s="3"/>
      <c r="D658" s="3"/>
      <c r="E658" s="1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5"/>
      <c r="C659" s="3"/>
      <c r="D659" s="3"/>
      <c r="E659" s="1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5"/>
      <c r="C660" s="3"/>
      <c r="D660" s="3"/>
      <c r="E660" s="1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5"/>
      <c r="C661" s="3"/>
      <c r="D661" s="3"/>
      <c r="E661" s="1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5"/>
      <c r="C662" s="3"/>
      <c r="D662" s="3"/>
      <c r="E662" s="1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5"/>
      <c r="C663" s="3"/>
      <c r="D663" s="3"/>
      <c r="E663" s="1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5"/>
      <c r="C664" s="3"/>
      <c r="D664" s="3"/>
      <c r="E664" s="1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5"/>
      <c r="C665" s="3"/>
      <c r="D665" s="3"/>
      <c r="E665" s="1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5"/>
      <c r="C666" s="3"/>
      <c r="D666" s="3"/>
      <c r="E666" s="1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5"/>
      <c r="C667" s="3"/>
      <c r="D667" s="3"/>
      <c r="E667" s="1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5"/>
      <c r="C668" s="3"/>
      <c r="D668" s="3"/>
      <c r="E668" s="1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5"/>
      <c r="C669" s="3"/>
      <c r="D669" s="3"/>
      <c r="E669" s="1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5"/>
      <c r="C670" s="3"/>
      <c r="D670" s="3"/>
      <c r="E670" s="1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5"/>
      <c r="C671" s="3"/>
      <c r="D671" s="3"/>
      <c r="E671" s="1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5"/>
      <c r="C672" s="3"/>
      <c r="D672" s="3"/>
      <c r="E672" s="1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5"/>
      <c r="C673" s="3"/>
      <c r="D673" s="3"/>
      <c r="E673" s="1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5"/>
      <c r="C674" s="3"/>
      <c r="D674" s="3"/>
      <c r="E674" s="1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5"/>
      <c r="C675" s="3"/>
      <c r="D675" s="3"/>
      <c r="E675" s="1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5"/>
      <c r="C676" s="3"/>
      <c r="D676" s="3"/>
      <c r="E676" s="1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5"/>
      <c r="C677" s="3"/>
      <c r="D677" s="3"/>
      <c r="E677" s="1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5"/>
      <c r="C678" s="3"/>
      <c r="D678" s="3"/>
      <c r="E678" s="1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5"/>
      <c r="C679" s="3"/>
      <c r="D679" s="3"/>
      <c r="E679" s="1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5"/>
      <c r="C680" s="3"/>
      <c r="D680" s="3"/>
      <c r="E680" s="1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5"/>
      <c r="C681" s="3"/>
      <c r="D681" s="3"/>
      <c r="E681" s="1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5"/>
      <c r="C682" s="3"/>
      <c r="D682" s="3"/>
      <c r="E682" s="1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5"/>
      <c r="C683" s="3"/>
      <c r="D683" s="3"/>
      <c r="E683" s="1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5"/>
      <c r="C684" s="3"/>
      <c r="D684" s="3"/>
      <c r="E684" s="1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5"/>
      <c r="C685" s="3"/>
      <c r="D685" s="3"/>
      <c r="E685" s="1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5"/>
      <c r="C686" s="3"/>
      <c r="D686" s="3"/>
      <c r="E686" s="1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5"/>
      <c r="C687" s="3"/>
      <c r="D687" s="3"/>
      <c r="E687" s="1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5"/>
      <c r="C688" s="3"/>
      <c r="D688" s="3"/>
      <c r="E688" s="1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5"/>
      <c r="C689" s="3"/>
      <c r="D689" s="3"/>
      <c r="E689" s="1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5"/>
      <c r="C690" s="3"/>
      <c r="D690" s="3"/>
      <c r="E690" s="1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5"/>
      <c r="C691" s="3"/>
      <c r="D691" s="3"/>
      <c r="E691" s="1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5"/>
      <c r="C692" s="3"/>
      <c r="D692" s="3"/>
      <c r="E692" s="1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5"/>
      <c r="C693" s="3"/>
      <c r="D693" s="3"/>
      <c r="E693" s="1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5"/>
      <c r="C694" s="3"/>
      <c r="D694" s="3"/>
      <c r="E694" s="1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5"/>
      <c r="C695" s="3"/>
      <c r="D695" s="3"/>
      <c r="E695" s="1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5"/>
      <c r="C696" s="3"/>
      <c r="D696" s="3"/>
      <c r="E696" s="1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5"/>
      <c r="C697" s="3"/>
      <c r="D697" s="3"/>
      <c r="E697" s="1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5"/>
      <c r="C698" s="3"/>
      <c r="D698" s="3"/>
      <c r="E698" s="1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5"/>
      <c r="C699" s="3"/>
      <c r="D699" s="3"/>
      <c r="E699" s="1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5"/>
      <c r="C700" s="3"/>
      <c r="D700" s="3"/>
      <c r="E700" s="1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5"/>
      <c r="C701" s="3"/>
      <c r="D701" s="3"/>
      <c r="E701" s="1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5"/>
      <c r="C702" s="3"/>
      <c r="D702" s="3"/>
      <c r="E702" s="1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5"/>
      <c r="C703" s="3"/>
      <c r="D703" s="3"/>
      <c r="E703" s="1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5"/>
      <c r="C704" s="3"/>
      <c r="D704" s="3"/>
      <c r="E704" s="1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5"/>
      <c r="C705" s="3"/>
      <c r="D705" s="3"/>
      <c r="E705" s="1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5"/>
      <c r="C706" s="3"/>
      <c r="D706" s="3"/>
      <c r="E706" s="1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5"/>
      <c r="C707" s="3"/>
      <c r="D707" s="3"/>
      <c r="E707" s="1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5"/>
      <c r="C708" s="3"/>
      <c r="D708" s="3"/>
      <c r="E708" s="1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5"/>
      <c r="C709" s="3"/>
      <c r="D709" s="3"/>
      <c r="E709" s="1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5"/>
      <c r="C710" s="3"/>
      <c r="D710" s="3"/>
      <c r="E710" s="1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5"/>
      <c r="C711" s="3"/>
      <c r="D711" s="3"/>
      <c r="E711" s="1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5"/>
      <c r="C712" s="3"/>
      <c r="D712" s="3"/>
      <c r="E712" s="1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5"/>
      <c r="C713" s="3"/>
      <c r="D713" s="3"/>
      <c r="E713" s="1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5"/>
      <c r="C714" s="3"/>
      <c r="D714" s="3"/>
      <c r="E714" s="1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5"/>
      <c r="C715" s="3"/>
      <c r="D715" s="3"/>
      <c r="E715" s="1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5"/>
      <c r="C716" s="3"/>
      <c r="D716" s="3"/>
      <c r="E716" s="1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5"/>
      <c r="C717" s="3"/>
      <c r="D717" s="3"/>
      <c r="E717" s="1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5"/>
      <c r="C718" s="3"/>
      <c r="D718" s="3"/>
      <c r="E718" s="1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5"/>
      <c r="C719" s="3"/>
      <c r="D719" s="3"/>
      <c r="E719" s="1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5"/>
      <c r="C720" s="3"/>
      <c r="D720" s="3"/>
      <c r="E720" s="1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5"/>
      <c r="C721" s="3"/>
      <c r="D721" s="3"/>
      <c r="E721" s="1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5"/>
      <c r="C722" s="3"/>
      <c r="D722" s="3"/>
      <c r="E722" s="1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5"/>
      <c r="C723" s="3"/>
      <c r="D723" s="3"/>
      <c r="E723" s="1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5"/>
      <c r="C724" s="3"/>
      <c r="D724" s="3"/>
      <c r="E724" s="1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5"/>
      <c r="C725" s="3"/>
      <c r="D725" s="3"/>
      <c r="E725" s="1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5"/>
      <c r="C726" s="3"/>
      <c r="D726" s="3"/>
      <c r="E726" s="1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5"/>
      <c r="C727" s="3"/>
      <c r="D727" s="3"/>
      <c r="E727" s="1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5"/>
      <c r="C728" s="3"/>
      <c r="D728" s="3"/>
      <c r="E728" s="1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5"/>
      <c r="C729" s="3"/>
      <c r="D729" s="3"/>
      <c r="E729" s="1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5"/>
      <c r="C730" s="3"/>
      <c r="D730" s="3"/>
      <c r="E730" s="1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5"/>
      <c r="C731" s="3"/>
      <c r="D731" s="3"/>
      <c r="E731" s="1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5"/>
      <c r="C732" s="3"/>
      <c r="D732" s="3"/>
      <c r="E732" s="1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5"/>
      <c r="C733" s="3"/>
      <c r="D733" s="3"/>
      <c r="E733" s="1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5"/>
      <c r="C734" s="3"/>
      <c r="D734" s="3"/>
      <c r="E734" s="1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5"/>
      <c r="C735" s="3"/>
      <c r="D735" s="3"/>
      <c r="E735" s="1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5"/>
      <c r="C736" s="3"/>
      <c r="D736" s="3"/>
      <c r="E736" s="1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5"/>
      <c r="C737" s="3"/>
      <c r="D737" s="3"/>
      <c r="E737" s="1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5"/>
      <c r="C738" s="3"/>
      <c r="D738" s="3"/>
      <c r="E738" s="1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5"/>
      <c r="C739" s="3"/>
      <c r="D739" s="3"/>
      <c r="E739" s="1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5"/>
      <c r="C740" s="3"/>
      <c r="D740" s="3"/>
      <c r="E740" s="1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5"/>
      <c r="C741" s="3"/>
      <c r="D741" s="3"/>
      <c r="E741" s="1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5"/>
      <c r="C742" s="3"/>
      <c r="D742" s="3"/>
      <c r="E742" s="1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5"/>
      <c r="C743" s="3"/>
      <c r="D743" s="3"/>
      <c r="E743" s="1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5"/>
      <c r="C744" s="3"/>
      <c r="D744" s="3"/>
      <c r="E744" s="1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5"/>
      <c r="C745" s="3"/>
      <c r="D745" s="3"/>
      <c r="E745" s="1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5"/>
      <c r="C746" s="3"/>
      <c r="D746" s="3"/>
      <c r="E746" s="1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5"/>
      <c r="C747" s="3"/>
      <c r="D747" s="3"/>
      <c r="E747" s="1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5"/>
      <c r="C748" s="3"/>
      <c r="D748" s="3"/>
      <c r="E748" s="1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5"/>
      <c r="C749" s="3"/>
      <c r="D749" s="3"/>
      <c r="E749" s="1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5"/>
      <c r="C750" s="3"/>
      <c r="D750" s="3"/>
      <c r="E750" s="1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5"/>
      <c r="C751" s="3"/>
      <c r="D751" s="3"/>
      <c r="E751" s="1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5"/>
      <c r="C752" s="3"/>
      <c r="D752" s="3"/>
      <c r="E752" s="1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5"/>
      <c r="C753" s="3"/>
      <c r="D753" s="3"/>
      <c r="E753" s="1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5"/>
      <c r="C754" s="3"/>
      <c r="D754" s="3"/>
      <c r="E754" s="1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5"/>
      <c r="C755" s="3"/>
      <c r="D755" s="3"/>
      <c r="E755" s="1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5"/>
      <c r="C756" s="3"/>
      <c r="D756" s="3"/>
      <c r="E756" s="1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5"/>
      <c r="C757" s="3"/>
      <c r="D757" s="3"/>
      <c r="E757" s="1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5"/>
      <c r="C758" s="3"/>
      <c r="D758" s="3"/>
      <c r="E758" s="1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5"/>
      <c r="C759" s="3"/>
      <c r="D759" s="3"/>
      <c r="E759" s="1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5"/>
      <c r="C760" s="3"/>
      <c r="D760" s="3"/>
      <c r="E760" s="1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5"/>
      <c r="C761" s="3"/>
      <c r="D761" s="3"/>
      <c r="E761" s="1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5"/>
      <c r="C762" s="3"/>
      <c r="D762" s="3"/>
      <c r="E762" s="1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5"/>
      <c r="C763" s="3"/>
      <c r="D763" s="3"/>
      <c r="E763" s="1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5"/>
      <c r="C764" s="3"/>
      <c r="D764" s="3"/>
      <c r="E764" s="1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5"/>
      <c r="C765" s="3"/>
      <c r="D765" s="3"/>
      <c r="E765" s="1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5"/>
      <c r="C766" s="3"/>
      <c r="D766" s="3"/>
      <c r="E766" s="1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5"/>
      <c r="C767" s="3"/>
      <c r="D767" s="3"/>
      <c r="E767" s="1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5"/>
      <c r="C768" s="3"/>
      <c r="D768" s="3"/>
      <c r="E768" s="1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5"/>
      <c r="C769" s="3"/>
      <c r="D769" s="3"/>
      <c r="E769" s="1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5"/>
      <c r="C770" s="3"/>
      <c r="D770" s="3"/>
      <c r="E770" s="1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5"/>
      <c r="C771" s="3"/>
      <c r="D771" s="3"/>
      <c r="E771" s="1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5"/>
      <c r="C772" s="3"/>
      <c r="D772" s="3"/>
      <c r="E772" s="1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5"/>
      <c r="C773" s="3"/>
      <c r="D773" s="3"/>
      <c r="E773" s="1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5"/>
      <c r="C774" s="3"/>
      <c r="D774" s="3"/>
      <c r="E774" s="1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5"/>
      <c r="C775" s="3"/>
      <c r="D775" s="3"/>
      <c r="E775" s="1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5"/>
      <c r="C776" s="3"/>
      <c r="D776" s="3"/>
      <c r="E776" s="1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5"/>
      <c r="C777" s="3"/>
      <c r="D777" s="3"/>
      <c r="E777" s="1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5"/>
      <c r="C778" s="3"/>
      <c r="D778" s="3"/>
      <c r="E778" s="1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5"/>
      <c r="C779" s="3"/>
      <c r="D779" s="3"/>
      <c r="E779" s="1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5"/>
      <c r="C780" s="3"/>
      <c r="D780" s="3"/>
      <c r="E780" s="1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5"/>
      <c r="C781" s="3"/>
      <c r="D781" s="3"/>
      <c r="E781" s="1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5"/>
      <c r="C782" s="3"/>
      <c r="D782" s="3"/>
      <c r="E782" s="1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5"/>
      <c r="C783" s="3"/>
      <c r="D783" s="3"/>
      <c r="E783" s="1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5"/>
      <c r="C784" s="3"/>
      <c r="D784" s="3"/>
      <c r="E784" s="1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5"/>
      <c r="C785" s="3"/>
      <c r="D785" s="3"/>
      <c r="E785" s="1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5"/>
      <c r="C786" s="3"/>
      <c r="D786" s="3"/>
      <c r="E786" s="1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5"/>
      <c r="C787" s="3"/>
      <c r="D787" s="3"/>
      <c r="E787" s="1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5"/>
      <c r="C788" s="3"/>
      <c r="D788" s="3"/>
      <c r="E788" s="1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5"/>
      <c r="C789" s="3"/>
      <c r="D789" s="3"/>
      <c r="E789" s="1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5"/>
      <c r="C790" s="3"/>
      <c r="D790" s="3"/>
      <c r="E790" s="1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5"/>
      <c r="C791" s="3"/>
      <c r="D791" s="3"/>
      <c r="E791" s="1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5"/>
      <c r="C792" s="3"/>
      <c r="D792" s="3"/>
      <c r="E792" s="1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5"/>
      <c r="C793" s="3"/>
      <c r="D793" s="3"/>
      <c r="E793" s="1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5"/>
      <c r="C794" s="3"/>
      <c r="D794" s="3"/>
      <c r="E794" s="1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5"/>
      <c r="C795" s="3"/>
      <c r="D795" s="3"/>
      <c r="E795" s="1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5"/>
      <c r="C796" s="3"/>
      <c r="D796" s="3"/>
      <c r="E796" s="1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5"/>
      <c r="C797" s="3"/>
      <c r="D797" s="3"/>
      <c r="E797" s="1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5"/>
      <c r="C798" s="3"/>
      <c r="D798" s="3"/>
      <c r="E798" s="1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5"/>
      <c r="C799" s="3"/>
      <c r="D799" s="3"/>
      <c r="E799" s="1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5"/>
      <c r="C800" s="3"/>
      <c r="D800" s="3"/>
      <c r="E800" s="1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5"/>
      <c r="C801" s="3"/>
      <c r="D801" s="3"/>
      <c r="E801" s="1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5"/>
      <c r="C802" s="3"/>
      <c r="D802" s="3"/>
      <c r="E802" s="1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5"/>
      <c r="C803" s="3"/>
      <c r="D803" s="3"/>
      <c r="E803" s="1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5"/>
      <c r="C804" s="3"/>
      <c r="D804" s="3"/>
      <c r="E804" s="1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5"/>
      <c r="C805" s="3"/>
      <c r="D805" s="3"/>
      <c r="E805" s="1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5"/>
      <c r="C806" s="3"/>
      <c r="D806" s="3"/>
      <c r="E806" s="1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5"/>
      <c r="C807" s="3"/>
      <c r="D807" s="3"/>
      <c r="E807" s="1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5"/>
      <c r="C808" s="3"/>
      <c r="D808" s="3"/>
      <c r="E808" s="1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5"/>
      <c r="C809" s="3"/>
      <c r="D809" s="3"/>
      <c r="E809" s="1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5"/>
      <c r="C810" s="3"/>
      <c r="D810" s="3"/>
      <c r="E810" s="1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5"/>
      <c r="C811" s="3"/>
      <c r="D811" s="3"/>
      <c r="E811" s="1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5"/>
      <c r="C812" s="3"/>
      <c r="D812" s="3"/>
      <c r="E812" s="1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5"/>
      <c r="C813" s="3"/>
      <c r="D813" s="3"/>
      <c r="E813" s="1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5"/>
      <c r="C814" s="3"/>
      <c r="D814" s="3"/>
      <c r="E814" s="1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5"/>
      <c r="C815" s="3"/>
      <c r="D815" s="3"/>
      <c r="E815" s="1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5"/>
      <c r="C816" s="3"/>
      <c r="D816" s="3"/>
      <c r="E816" s="1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5"/>
      <c r="C817" s="3"/>
      <c r="D817" s="3"/>
      <c r="E817" s="1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5"/>
      <c r="C818" s="3"/>
      <c r="D818" s="3"/>
      <c r="E818" s="1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5"/>
      <c r="C819" s="3"/>
      <c r="D819" s="3"/>
      <c r="E819" s="1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5"/>
      <c r="C820" s="3"/>
      <c r="D820" s="3"/>
      <c r="E820" s="1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5"/>
      <c r="C821" s="3"/>
      <c r="D821" s="3"/>
      <c r="E821" s="1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5"/>
      <c r="C822" s="3"/>
      <c r="D822" s="3"/>
      <c r="E822" s="1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5"/>
      <c r="C823" s="3"/>
      <c r="D823" s="3"/>
      <c r="E823" s="1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5"/>
      <c r="C824" s="3"/>
      <c r="D824" s="3"/>
      <c r="E824" s="1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5"/>
      <c r="C825" s="3"/>
      <c r="D825" s="3"/>
      <c r="E825" s="1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5"/>
      <c r="C826" s="3"/>
      <c r="D826" s="3"/>
      <c r="E826" s="1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5"/>
      <c r="C827" s="3"/>
      <c r="D827" s="3"/>
      <c r="E827" s="1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5"/>
      <c r="C828" s="3"/>
      <c r="D828" s="3"/>
      <c r="E828" s="1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5"/>
      <c r="C829" s="3"/>
      <c r="D829" s="3"/>
      <c r="E829" s="1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5"/>
      <c r="C830" s="3"/>
      <c r="D830" s="3"/>
      <c r="E830" s="1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5"/>
      <c r="C831" s="3"/>
      <c r="D831" s="3"/>
      <c r="E831" s="1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5"/>
      <c r="C832" s="3"/>
      <c r="D832" s="3"/>
      <c r="E832" s="1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5"/>
      <c r="C833" s="3"/>
      <c r="D833" s="3"/>
      <c r="E833" s="1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5"/>
      <c r="C834" s="3"/>
      <c r="D834" s="3"/>
      <c r="E834" s="1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5"/>
      <c r="C835" s="3"/>
      <c r="D835" s="3"/>
      <c r="E835" s="1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5"/>
      <c r="C836" s="3"/>
      <c r="D836" s="3"/>
      <c r="E836" s="1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5"/>
      <c r="C837" s="3"/>
      <c r="D837" s="3"/>
      <c r="E837" s="1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5"/>
      <c r="C838" s="3"/>
      <c r="D838" s="3"/>
      <c r="E838" s="1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5"/>
      <c r="C839" s="3"/>
      <c r="D839" s="3"/>
      <c r="E839" s="1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5"/>
      <c r="C840" s="3"/>
      <c r="D840" s="3"/>
      <c r="E840" s="1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5"/>
      <c r="C841" s="3"/>
      <c r="D841" s="3"/>
      <c r="E841" s="1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5"/>
      <c r="C842" s="3"/>
      <c r="D842" s="3"/>
      <c r="E842" s="1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5"/>
      <c r="C843" s="3"/>
      <c r="D843" s="3"/>
      <c r="E843" s="1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5"/>
      <c r="C844" s="3"/>
      <c r="D844" s="3"/>
      <c r="E844" s="1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5"/>
      <c r="C845" s="3"/>
      <c r="D845" s="3"/>
      <c r="E845" s="1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5"/>
      <c r="C846" s="3"/>
      <c r="D846" s="3"/>
      <c r="E846" s="1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5"/>
      <c r="C847" s="3"/>
      <c r="D847" s="3"/>
      <c r="E847" s="1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5"/>
      <c r="C848" s="3"/>
      <c r="D848" s="3"/>
      <c r="E848" s="1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5"/>
      <c r="C849" s="3"/>
      <c r="D849" s="3"/>
      <c r="E849" s="1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5"/>
      <c r="C850" s="3"/>
      <c r="D850" s="3"/>
      <c r="E850" s="1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5"/>
      <c r="C851" s="3"/>
      <c r="D851" s="3"/>
      <c r="E851" s="1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5"/>
      <c r="C852" s="3"/>
      <c r="D852" s="3"/>
      <c r="E852" s="1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5"/>
      <c r="C853" s="3"/>
      <c r="D853" s="3"/>
      <c r="E853" s="1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5"/>
      <c r="C854" s="3"/>
      <c r="D854" s="3"/>
      <c r="E854" s="1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5"/>
      <c r="C855" s="3"/>
      <c r="D855" s="3"/>
      <c r="E855" s="1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5"/>
      <c r="C856" s="3"/>
      <c r="D856" s="3"/>
      <c r="E856" s="1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5"/>
      <c r="C857" s="3"/>
      <c r="D857" s="3"/>
      <c r="E857" s="1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5"/>
      <c r="C858" s="3"/>
      <c r="D858" s="3"/>
      <c r="E858" s="1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5"/>
      <c r="C859" s="3"/>
      <c r="D859" s="3"/>
      <c r="E859" s="1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5"/>
      <c r="C860" s="3"/>
      <c r="D860" s="3"/>
      <c r="E860" s="1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5"/>
      <c r="C861" s="3"/>
      <c r="D861" s="3"/>
      <c r="E861" s="1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5"/>
      <c r="C862" s="3"/>
      <c r="D862" s="3"/>
      <c r="E862" s="1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5"/>
      <c r="C863" s="3"/>
      <c r="D863" s="3"/>
      <c r="E863" s="1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5"/>
      <c r="C864" s="3"/>
      <c r="D864" s="3"/>
      <c r="E864" s="1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5"/>
      <c r="C865" s="3"/>
      <c r="D865" s="3"/>
      <c r="E865" s="1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5"/>
      <c r="C866" s="3"/>
      <c r="D866" s="3"/>
      <c r="E866" s="1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5"/>
      <c r="C867" s="3"/>
      <c r="D867" s="3"/>
      <c r="E867" s="1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5"/>
      <c r="C868" s="3"/>
      <c r="D868" s="3"/>
      <c r="E868" s="1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5"/>
      <c r="C869" s="3"/>
      <c r="D869" s="3"/>
      <c r="E869" s="1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5"/>
      <c r="C870" s="3"/>
      <c r="D870" s="3"/>
      <c r="E870" s="1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5"/>
      <c r="C871" s="3"/>
      <c r="D871" s="3"/>
      <c r="E871" s="1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5"/>
      <c r="C872" s="3"/>
      <c r="D872" s="3"/>
      <c r="E872" s="1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5"/>
      <c r="C873" s="3"/>
      <c r="D873" s="3"/>
      <c r="E873" s="1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5"/>
      <c r="C874" s="3"/>
      <c r="D874" s="3"/>
      <c r="E874" s="1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5"/>
      <c r="C875" s="3"/>
      <c r="D875" s="3"/>
      <c r="E875" s="1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5"/>
      <c r="C876" s="3"/>
      <c r="D876" s="3"/>
      <c r="E876" s="1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5"/>
      <c r="C877" s="3"/>
      <c r="D877" s="3"/>
      <c r="E877" s="1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5"/>
      <c r="C878" s="3"/>
      <c r="D878" s="3"/>
      <c r="E878" s="1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5"/>
      <c r="C879" s="3"/>
      <c r="D879" s="3"/>
      <c r="E879" s="1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5"/>
      <c r="C880" s="3"/>
      <c r="D880" s="3"/>
      <c r="E880" s="1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5"/>
      <c r="C881" s="3"/>
      <c r="D881" s="3"/>
      <c r="E881" s="1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5"/>
      <c r="C882" s="3"/>
      <c r="D882" s="3"/>
      <c r="E882" s="1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5"/>
      <c r="C883" s="3"/>
      <c r="D883" s="3"/>
      <c r="E883" s="1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5"/>
      <c r="C884" s="3"/>
      <c r="D884" s="3"/>
      <c r="E884" s="1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5"/>
      <c r="C885" s="3"/>
      <c r="D885" s="3"/>
      <c r="E885" s="1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5"/>
      <c r="C886" s="3"/>
      <c r="D886" s="3"/>
      <c r="E886" s="1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5"/>
      <c r="C887" s="3"/>
      <c r="D887" s="3"/>
      <c r="E887" s="1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5"/>
      <c r="C888" s="3"/>
      <c r="D888" s="3"/>
      <c r="E888" s="1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5"/>
      <c r="C889" s="3"/>
      <c r="D889" s="3"/>
      <c r="E889" s="1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5"/>
      <c r="C890" s="3"/>
      <c r="D890" s="3"/>
      <c r="E890" s="1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5"/>
      <c r="C891" s="3"/>
      <c r="D891" s="3"/>
      <c r="E891" s="1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5"/>
      <c r="C892" s="3"/>
      <c r="D892" s="3"/>
      <c r="E892" s="1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5"/>
      <c r="C893" s="3"/>
      <c r="D893" s="3"/>
      <c r="E893" s="1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5"/>
      <c r="C894" s="3"/>
      <c r="D894" s="3"/>
      <c r="E894" s="1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5"/>
      <c r="C895" s="3"/>
      <c r="D895" s="3"/>
      <c r="E895" s="1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5"/>
      <c r="C896" s="3"/>
      <c r="D896" s="3"/>
      <c r="E896" s="1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5"/>
      <c r="C897" s="3"/>
      <c r="D897" s="3"/>
      <c r="E897" s="1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5"/>
      <c r="C898" s="3"/>
      <c r="D898" s="3"/>
      <c r="E898" s="1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5"/>
      <c r="C899" s="3"/>
      <c r="D899" s="3"/>
      <c r="E899" s="1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5"/>
      <c r="C900" s="3"/>
      <c r="D900" s="3"/>
      <c r="E900" s="1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5"/>
      <c r="C901" s="3"/>
      <c r="D901" s="3"/>
      <c r="E901" s="1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5"/>
      <c r="C902" s="3"/>
      <c r="D902" s="3"/>
      <c r="E902" s="1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5"/>
      <c r="C903" s="3"/>
      <c r="D903" s="3"/>
      <c r="E903" s="1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5"/>
      <c r="C904" s="3"/>
      <c r="D904" s="3"/>
      <c r="E904" s="1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5"/>
      <c r="C905" s="3"/>
      <c r="D905" s="3"/>
      <c r="E905" s="1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5"/>
      <c r="C906" s="3"/>
      <c r="D906" s="3"/>
      <c r="E906" s="1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5"/>
      <c r="C907" s="3"/>
      <c r="D907" s="3"/>
      <c r="E907" s="1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5"/>
      <c r="C908" s="3"/>
      <c r="D908" s="3"/>
      <c r="E908" s="1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5"/>
      <c r="C909" s="3"/>
      <c r="D909" s="3"/>
      <c r="E909" s="1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5"/>
      <c r="C910" s="3"/>
      <c r="D910" s="3"/>
      <c r="E910" s="1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5"/>
      <c r="C911" s="3"/>
      <c r="D911" s="3"/>
      <c r="E911" s="1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5"/>
      <c r="C912" s="3"/>
      <c r="D912" s="3"/>
      <c r="E912" s="1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5"/>
      <c r="C913" s="3"/>
      <c r="D913" s="3"/>
      <c r="E913" s="1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5"/>
      <c r="C914" s="3"/>
      <c r="D914" s="3"/>
      <c r="E914" s="1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5"/>
      <c r="C915" s="3"/>
      <c r="D915" s="3"/>
      <c r="E915" s="1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5"/>
      <c r="C916" s="3"/>
      <c r="D916" s="3"/>
      <c r="E916" s="1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5"/>
      <c r="C917" s="3"/>
      <c r="D917" s="3"/>
      <c r="E917" s="1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5"/>
      <c r="C918" s="3"/>
      <c r="D918" s="3"/>
      <c r="E918" s="1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5"/>
      <c r="C919" s="3"/>
      <c r="D919" s="3"/>
      <c r="E919" s="1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5"/>
      <c r="C920" s="3"/>
      <c r="D920" s="3"/>
      <c r="E920" s="1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5"/>
      <c r="C921" s="3"/>
      <c r="D921" s="3"/>
      <c r="E921" s="1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5"/>
      <c r="C922" s="3"/>
      <c r="D922" s="3"/>
      <c r="E922" s="1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5"/>
      <c r="C923" s="3"/>
      <c r="D923" s="3"/>
      <c r="E923" s="1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5"/>
      <c r="C924" s="3"/>
      <c r="D924" s="3"/>
      <c r="E924" s="1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5"/>
      <c r="C925" s="3"/>
      <c r="D925" s="3"/>
      <c r="E925" s="1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5"/>
      <c r="C926" s="3"/>
      <c r="D926" s="3"/>
      <c r="E926" s="1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5"/>
      <c r="C927" s="3"/>
      <c r="D927" s="3"/>
      <c r="E927" s="1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5"/>
      <c r="C928" s="3"/>
      <c r="D928" s="3"/>
      <c r="E928" s="1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5"/>
      <c r="C929" s="3"/>
      <c r="D929" s="3"/>
      <c r="E929" s="1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5"/>
      <c r="C930" s="3"/>
      <c r="D930" s="3"/>
      <c r="E930" s="1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5"/>
      <c r="C931" s="3"/>
      <c r="D931" s="3"/>
      <c r="E931" s="1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5"/>
      <c r="C932" s="3"/>
      <c r="D932" s="3"/>
      <c r="E932" s="1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5"/>
      <c r="C933" s="3"/>
      <c r="D933" s="3"/>
      <c r="E933" s="1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5"/>
      <c r="C934" s="3"/>
      <c r="D934" s="3"/>
      <c r="E934" s="1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5"/>
      <c r="C935" s="3"/>
      <c r="D935" s="3"/>
      <c r="E935" s="1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5"/>
      <c r="C936" s="3"/>
      <c r="D936" s="3"/>
      <c r="E936" s="1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5"/>
      <c r="C937" s="3"/>
      <c r="D937" s="3"/>
      <c r="E937" s="1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5"/>
      <c r="C938" s="3"/>
      <c r="D938" s="3"/>
      <c r="E938" s="1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5"/>
      <c r="C939" s="3"/>
      <c r="D939" s="3"/>
      <c r="E939" s="1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5"/>
      <c r="C940" s="3"/>
      <c r="D940" s="3"/>
      <c r="E940" s="1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5"/>
      <c r="C941" s="3"/>
      <c r="D941" s="3"/>
      <c r="E941" s="1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5"/>
      <c r="C942" s="3"/>
      <c r="D942" s="3"/>
      <c r="E942" s="1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5"/>
      <c r="C943" s="3"/>
      <c r="D943" s="3"/>
      <c r="E943" s="1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5"/>
      <c r="C944" s="3"/>
      <c r="D944" s="3"/>
      <c r="E944" s="1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5"/>
      <c r="C945" s="3"/>
      <c r="D945" s="3"/>
      <c r="E945" s="1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5"/>
      <c r="C946" s="3"/>
      <c r="D946" s="3"/>
      <c r="E946" s="1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5"/>
      <c r="C947" s="3"/>
      <c r="D947" s="3"/>
      <c r="E947" s="1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5"/>
      <c r="C948" s="3"/>
      <c r="D948" s="3"/>
      <c r="E948" s="1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5"/>
      <c r="C949" s="3"/>
      <c r="D949" s="3"/>
      <c r="E949" s="1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5"/>
      <c r="C950" s="3"/>
      <c r="D950" s="3"/>
      <c r="E950" s="1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5"/>
      <c r="C951" s="3"/>
      <c r="D951" s="3"/>
      <c r="E951" s="1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5"/>
      <c r="C952" s="3"/>
      <c r="D952" s="3"/>
      <c r="E952" s="1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5"/>
      <c r="C953" s="3"/>
      <c r="D953" s="3"/>
      <c r="E953" s="1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5"/>
      <c r="C954" s="3"/>
      <c r="D954" s="3"/>
      <c r="E954" s="1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5"/>
      <c r="C955" s="3"/>
      <c r="D955" s="3"/>
      <c r="E955" s="1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5"/>
      <c r="C956" s="3"/>
      <c r="D956" s="3"/>
      <c r="E956" s="1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5"/>
      <c r="C957" s="3"/>
      <c r="D957" s="3"/>
      <c r="E957" s="1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5"/>
      <c r="C958" s="3"/>
      <c r="D958" s="3"/>
      <c r="E958" s="1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5"/>
      <c r="C959" s="3"/>
      <c r="D959" s="3"/>
      <c r="E959" s="1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5"/>
      <c r="C960" s="3"/>
      <c r="D960" s="3"/>
      <c r="E960" s="1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5"/>
      <c r="C961" s="3"/>
      <c r="D961" s="3"/>
      <c r="E961" s="1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5"/>
      <c r="C962" s="3"/>
      <c r="D962" s="3"/>
      <c r="E962" s="1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5"/>
      <c r="C963" s="3"/>
      <c r="D963" s="3"/>
      <c r="E963" s="1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5"/>
      <c r="C964" s="3"/>
      <c r="D964" s="3"/>
      <c r="E964" s="1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5"/>
      <c r="C965" s="3"/>
      <c r="D965" s="3"/>
      <c r="E965" s="1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5"/>
      <c r="C966" s="3"/>
      <c r="D966" s="3"/>
      <c r="E966" s="1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5"/>
      <c r="C967" s="3"/>
      <c r="D967" s="3"/>
      <c r="E967" s="1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5"/>
      <c r="C968" s="3"/>
      <c r="D968" s="3"/>
      <c r="E968" s="1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5"/>
      <c r="C969" s="3"/>
      <c r="D969" s="3"/>
      <c r="E969" s="1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5"/>
      <c r="C970" s="3"/>
      <c r="D970" s="3"/>
      <c r="E970" s="1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5"/>
      <c r="C971" s="3"/>
      <c r="D971" s="3"/>
      <c r="E971" s="1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5"/>
      <c r="C972" s="3"/>
      <c r="D972" s="3"/>
      <c r="E972" s="1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5"/>
      <c r="C973" s="3"/>
      <c r="D973" s="3"/>
      <c r="E973" s="1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5"/>
      <c r="C974" s="3"/>
      <c r="D974" s="3"/>
      <c r="E974" s="1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5"/>
      <c r="C975" s="3"/>
      <c r="D975" s="3"/>
      <c r="E975" s="1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5"/>
      <c r="C976" s="3"/>
      <c r="D976" s="3"/>
      <c r="E976" s="1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5"/>
      <c r="C977" s="3"/>
      <c r="D977" s="3"/>
      <c r="E977" s="1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5"/>
      <c r="C978" s="3"/>
      <c r="D978" s="3"/>
      <c r="E978" s="1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5"/>
      <c r="C979" s="3"/>
      <c r="D979" s="3"/>
      <c r="E979" s="1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5"/>
      <c r="C980" s="3"/>
      <c r="D980" s="3"/>
      <c r="E980" s="1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5"/>
      <c r="C981" s="3"/>
      <c r="D981" s="3"/>
      <c r="E981" s="1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5"/>
      <c r="C982" s="3"/>
      <c r="D982" s="3"/>
      <c r="E982" s="1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5"/>
      <c r="C983" s="3"/>
      <c r="D983" s="3"/>
      <c r="E983" s="1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5"/>
      <c r="C984" s="3"/>
      <c r="D984" s="3"/>
      <c r="E984" s="1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5"/>
      <c r="C985" s="3"/>
      <c r="D985" s="3"/>
      <c r="E985" s="1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5"/>
      <c r="C986" s="3"/>
      <c r="D986" s="3"/>
      <c r="E986" s="1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5"/>
      <c r="C987" s="3"/>
      <c r="D987" s="3"/>
      <c r="E987" s="1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5"/>
      <c r="C988" s="3"/>
      <c r="D988" s="3"/>
      <c r="E988" s="1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5"/>
      <c r="C989" s="3"/>
      <c r="D989" s="3"/>
      <c r="E989" s="1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15"/>
      <c r="C990" s="3"/>
      <c r="D990" s="3"/>
      <c r="E990" s="1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15"/>
      <c r="C991" s="3"/>
      <c r="D991" s="3"/>
      <c r="E991" s="1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15"/>
      <c r="C992" s="3"/>
      <c r="D992" s="3"/>
      <c r="E992" s="1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15"/>
      <c r="C993" s="3"/>
      <c r="D993" s="3"/>
      <c r="E993" s="1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15"/>
      <c r="C994" s="3"/>
      <c r="D994" s="3"/>
      <c r="E994" s="1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15"/>
      <c r="C995" s="3"/>
      <c r="D995" s="3"/>
      <c r="E995" s="1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15"/>
      <c r="C996" s="3"/>
      <c r="D996" s="3"/>
      <c r="E996" s="1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0.0"/>
    <col customWidth="1" min="3" max="3" width="17.71"/>
    <col customWidth="1" min="4" max="4" width="18.43"/>
    <col customWidth="1" min="5" max="5" width="18.0"/>
    <col customWidth="1" min="6" max="6" width="17.29"/>
    <col customWidth="1" min="8" max="8" width="24.0"/>
    <col customWidth="1" min="9" max="9" width="21.71"/>
    <col customWidth="1" min="10" max="10" width="17.57"/>
    <col customWidth="1" min="11" max="11" width="22.0"/>
    <col customWidth="1" min="12" max="12" width="15.14"/>
    <col customWidth="1" min="13" max="13" width="16.71"/>
    <col customWidth="1" min="14" max="14" width="18.71"/>
    <col customWidth="1" min="21" max="21" width="22.29"/>
    <col customWidth="1" min="22" max="22" width="14.0"/>
    <col customWidth="1" min="23" max="23" width="15.14"/>
    <col customWidth="1" min="24" max="24" width="15.57"/>
    <col customWidth="1" min="25" max="27" width="14.71"/>
    <col customWidth="1" min="28" max="28" width="16.86"/>
    <col customWidth="1" min="29" max="29" width="14.71"/>
  </cols>
  <sheetData>
    <row r="1">
      <c r="A1" s="1" t="s">
        <v>67</v>
      </c>
      <c r="B1" s="6"/>
      <c r="C1" s="3"/>
      <c r="D1" s="3"/>
      <c r="E1" s="3"/>
      <c r="F1" s="3"/>
      <c r="G1" s="3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9">
        <f>0.06*100000000</f>
        <v>6000000</v>
      </c>
      <c r="B2" s="5">
        <v>8000000.0</v>
      </c>
      <c r="C2" s="5">
        <v>1.0E7</v>
      </c>
      <c r="D2" s="3"/>
      <c r="E2" s="3"/>
      <c r="F2" s="3"/>
      <c r="G2" s="3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9">
        <f>A2/4</f>
        <v>1500000</v>
      </c>
      <c r="B3" s="5">
        <f>8000000/4</f>
        <v>2000000</v>
      </c>
      <c r="C3" s="5">
        <f>10000000/4</f>
        <v>2500000</v>
      </c>
      <c r="D3" s="3"/>
      <c r="E3" s="3"/>
      <c r="F3" s="3"/>
      <c r="G3" s="3"/>
      <c r="H3" s="3"/>
      <c r="I3" s="3"/>
      <c r="J3" s="3"/>
      <c r="K3" s="3"/>
      <c r="L3" s="6">
        <v>10000.0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8" t="s">
        <v>68</v>
      </c>
      <c r="B4" s="3"/>
      <c r="C4" s="3"/>
      <c r="D4" s="3"/>
      <c r="E4" s="3"/>
      <c r="F4" s="36"/>
      <c r="G4" s="36"/>
      <c r="H4" s="3"/>
      <c r="I4" s="3"/>
      <c r="J4" s="3"/>
      <c r="K4" s="3"/>
      <c r="L4" s="6">
        <v>8000.0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69</v>
      </c>
      <c r="B5" s="1" t="s">
        <v>70</v>
      </c>
      <c r="C5" s="1" t="s">
        <v>71</v>
      </c>
      <c r="D5" s="1" t="s">
        <v>15</v>
      </c>
      <c r="E5" s="3"/>
      <c r="F5" s="36"/>
      <c r="G5" s="3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5">
        <v>25000.0</v>
      </c>
      <c r="B6" s="5">
        <v>40000.0</v>
      </c>
      <c r="C6" s="4">
        <v>20.0</v>
      </c>
      <c r="D6" s="9">
        <f>(B6-A6)*20</f>
        <v>300000</v>
      </c>
      <c r="E6" s="6" t="s">
        <v>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/>
      <c r="B7" s="3"/>
      <c r="C7" s="3"/>
      <c r="D7" s="9">
        <f>300000/4</f>
        <v>75000</v>
      </c>
      <c r="E7" s="6" t="s">
        <v>72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8" t="s">
        <v>73</v>
      </c>
      <c r="B9" s="3"/>
      <c r="C9" s="3"/>
      <c r="D9" s="3"/>
      <c r="E9" s="3"/>
      <c r="F9" s="3"/>
      <c r="G9" s="3"/>
      <c r="H9" s="3"/>
      <c r="I9" s="28" t="s">
        <v>74</v>
      </c>
      <c r="J9" s="3"/>
      <c r="K9" s="3"/>
      <c r="L9" s="3"/>
      <c r="M9" s="3"/>
      <c r="N9" s="3"/>
      <c r="O9" s="28" t="s">
        <v>75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8" t="s">
        <v>50</v>
      </c>
      <c r="B11" s="3"/>
      <c r="C11" s="3"/>
      <c r="D11" s="3"/>
      <c r="E11" s="3"/>
      <c r="F11" s="3"/>
      <c r="G11" s="3"/>
      <c r="H11" s="3"/>
      <c r="I11" s="28" t="s">
        <v>50</v>
      </c>
      <c r="J11" s="3"/>
      <c r="K11" s="3"/>
      <c r="L11" s="3"/>
      <c r="M11" s="3"/>
      <c r="N11" s="3"/>
      <c r="O11" s="28" t="s">
        <v>50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76</v>
      </c>
      <c r="B12" s="1" t="s">
        <v>77</v>
      </c>
      <c r="C12" s="1" t="s">
        <v>78</v>
      </c>
      <c r="D12" s="1" t="s">
        <v>77</v>
      </c>
      <c r="E12" s="1" t="s">
        <v>79</v>
      </c>
      <c r="F12" s="37" t="s">
        <v>80</v>
      </c>
      <c r="G12" s="3"/>
      <c r="H12" s="3"/>
      <c r="I12" s="37" t="s">
        <v>81</v>
      </c>
      <c r="J12" s="37" t="s">
        <v>82</v>
      </c>
      <c r="K12" s="37" t="s">
        <v>24</v>
      </c>
      <c r="L12" s="37" t="s">
        <v>83</v>
      </c>
      <c r="M12" s="3"/>
      <c r="N12" s="3"/>
      <c r="O12" s="37" t="s">
        <v>84</v>
      </c>
      <c r="P12" s="37" t="s">
        <v>85</v>
      </c>
      <c r="Q12" s="37" t="s">
        <v>86</v>
      </c>
      <c r="R12" s="37" t="s">
        <v>87</v>
      </c>
      <c r="S12" s="3"/>
      <c r="T12" s="29" t="s">
        <v>88</v>
      </c>
      <c r="U12" s="6" t="s">
        <v>89</v>
      </c>
      <c r="V12" s="6" t="s">
        <v>87</v>
      </c>
      <c r="W12" s="6" t="s">
        <v>90</v>
      </c>
      <c r="X12" s="6" t="s">
        <v>91</v>
      </c>
      <c r="Y12" s="6" t="s">
        <v>92</v>
      </c>
      <c r="Z12" s="3"/>
      <c r="AA12" s="3"/>
      <c r="AB12" s="3"/>
      <c r="AC12" s="3"/>
    </row>
    <row r="13">
      <c r="A13" s="4">
        <v>300.0</v>
      </c>
      <c r="B13" s="5">
        <v>5000.0</v>
      </c>
      <c r="C13" s="4">
        <f t="shared" ref="C13:C16" si="1">0.8*P13</f>
        <v>2560</v>
      </c>
      <c r="D13" s="5">
        <v>300.0</v>
      </c>
      <c r="E13" s="9">
        <f>(A13*B13+C13*D13)*2</f>
        <v>4536000</v>
      </c>
      <c r="F13" s="9">
        <f>E13*0.05</f>
        <v>226800</v>
      </c>
      <c r="G13" s="3"/>
      <c r="H13" s="3"/>
      <c r="I13" s="4">
        <v>20.0</v>
      </c>
      <c r="J13" s="5">
        <v>15000.0</v>
      </c>
      <c r="K13" s="9">
        <f t="shared" ref="K13:K16" si="2">J13*I13</f>
        <v>300000</v>
      </c>
      <c r="L13" s="9">
        <f t="shared" ref="L13:L16" si="3">0.85*K13</f>
        <v>255000</v>
      </c>
      <c r="M13" s="3"/>
      <c r="N13" s="3"/>
      <c r="O13" s="4">
        <v>3500.0</v>
      </c>
      <c r="P13" s="4">
        <f>0.4*L4</f>
        <v>3200</v>
      </c>
      <c r="Q13" s="4">
        <v>400.0</v>
      </c>
      <c r="R13" s="5">
        <f>((O13*69)+(P13*129)+(Q13*299))*2</f>
        <v>1547800</v>
      </c>
      <c r="S13" s="3"/>
      <c r="T13" s="9">
        <f>sum(F13,L13,R13,D7,A3)</f>
        <v>3604600</v>
      </c>
      <c r="U13" s="6">
        <v>1.0</v>
      </c>
      <c r="V13" s="15">
        <f>R17</f>
        <v>10481310</v>
      </c>
      <c r="W13" s="15">
        <f>F17</f>
        <v>1650750</v>
      </c>
      <c r="X13" s="15">
        <f>L17</f>
        <v>1338750</v>
      </c>
      <c r="Y13" s="27">
        <v>6000000.0</v>
      </c>
      <c r="Z13" s="3"/>
      <c r="AA13" s="3"/>
      <c r="AB13" s="3"/>
      <c r="AC13" s="3"/>
    </row>
    <row r="14">
      <c r="A14" s="4">
        <f>A13+15%*A13</f>
        <v>345</v>
      </c>
      <c r="B14" s="5">
        <v>5500.0</v>
      </c>
      <c r="C14" s="4">
        <f t="shared" si="1"/>
        <v>3200</v>
      </c>
      <c r="D14" s="5">
        <v>320.0</v>
      </c>
      <c r="E14" s="9">
        <f t="shared" ref="E14:E15" si="4">3*(A14*B14 + C14*D14)</f>
        <v>8764500</v>
      </c>
      <c r="F14" s="9">
        <f t="shared" ref="F14:F16" si="5">0.05*E14</f>
        <v>438225</v>
      </c>
      <c r="G14" s="3"/>
      <c r="H14" s="3"/>
      <c r="I14" s="4">
        <v>30.0</v>
      </c>
      <c r="J14" s="5">
        <v>15500.0</v>
      </c>
      <c r="K14" s="9">
        <f t="shared" si="2"/>
        <v>465000</v>
      </c>
      <c r="L14" s="9">
        <f t="shared" si="3"/>
        <v>395250</v>
      </c>
      <c r="M14" s="3"/>
      <c r="N14" s="3"/>
      <c r="O14" s="4">
        <f t="shared" ref="O14:O15" si="6">O13+O13*0.2</f>
        <v>4200</v>
      </c>
      <c r="P14" s="38">
        <f t="shared" ref="P14:P16" si="7">P13+P13*0.25</f>
        <v>4000</v>
      </c>
      <c r="Q14" s="4">
        <v>430.0</v>
      </c>
      <c r="R14" s="5">
        <f t="shared" ref="R14:R15" si="8">((O14*69)+(P14*129)+(Q14*299))*3</f>
        <v>2803110</v>
      </c>
      <c r="S14" s="3"/>
      <c r="T14" s="9">
        <f>sum(F14,L14,R14,A3,D7)</f>
        <v>5211585</v>
      </c>
      <c r="U14" s="6">
        <v>2.0</v>
      </c>
      <c r="V14" s="15">
        <f>R25</f>
        <v>16434420</v>
      </c>
      <c r="W14" s="15">
        <f>F25</f>
        <v>2642670</v>
      </c>
      <c r="X14" s="15">
        <f>L25</f>
        <v>1508750</v>
      </c>
      <c r="Y14" s="27">
        <v>8000000.0</v>
      </c>
      <c r="Z14" s="3"/>
      <c r="AA14" s="3"/>
      <c r="AB14" s="3"/>
      <c r="AC14" s="3"/>
    </row>
    <row r="15">
      <c r="A15" s="4">
        <f t="shared" ref="A15:A16" si="9">round(A14+15%*A14,0)</f>
        <v>397</v>
      </c>
      <c r="B15" s="5">
        <v>5500.0</v>
      </c>
      <c r="C15" s="4">
        <f t="shared" si="1"/>
        <v>4000</v>
      </c>
      <c r="D15" s="5">
        <v>340.0</v>
      </c>
      <c r="E15" s="9">
        <f t="shared" si="4"/>
        <v>10630500</v>
      </c>
      <c r="F15" s="9">
        <f t="shared" si="5"/>
        <v>531525</v>
      </c>
      <c r="G15" s="3"/>
      <c r="H15" s="3"/>
      <c r="I15" s="4">
        <v>30.0</v>
      </c>
      <c r="J15" s="5">
        <v>16000.0</v>
      </c>
      <c r="K15" s="9">
        <f t="shared" si="2"/>
        <v>480000</v>
      </c>
      <c r="L15" s="9">
        <f t="shared" si="3"/>
        <v>408000</v>
      </c>
      <c r="M15" s="3"/>
      <c r="N15" s="3"/>
      <c r="O15" s="4">
        <f t="shared" si="6"/>
        <v>5040</v>
      </c>
      <c r="P15" s="38">
        <f t="shared" si="7"/>
        <v>5000</v>
      </c>
      <c r="Q15" s="4">
        <v>460.0</v>
      </c>
      <c r="R15" s="5">
        <f t="shared" si="8"/>
        <v>3390900</v>
      </c>
      <c r="S15" s="3"/>
      <c r="T15" s="9">
        <f>sum(F15,L15,R15,A3,D7)</f>
        <v>5905425</v>
      </c>
      <c r="U15" s="6">
        <v>3.0</v>
      </c>
      <c r="V15" s="15">
        <f>R33</f>
        <v>18715000</v>
      </c>
      <c r="W15" s="15">
        <f>F33</f>
        <v>3280250</v>
      </c>
      <c r="X15" s="15">
        <f>L33</f>
        <v>1678750</v>
      </c>
      <c r="Y15" s="27">
        <v>1.0E7</v>
      </c>
      <c r="Z15" s="3"/>
      <c r="AA15" s="3"/>
      <c r="AB15" s="3"/>
      <c r="AC15" s="3"/>
    </row>
    <row r="16">
      <c r="A16" s="4">
        <f t="shared" si="9"/>
        <v>457</v>
      </c>
      <c r="B16" s="5">
        <v>6000.0</v>
      </c>
      <c r="C16" s="4">
        <f t="shared" si="1"/>
        <v>5000</v>
      </c>
      <c r="D16" s="5">
        <v>360.0</v>
      </c>
      <c r="E16" s="9">
        <f>2*(A16*B16 + C16*D16)</f>
        <v>9084000</v>
      </c>
      <c r="F16" s="9">
        <f t="shared" si="5"/>
        <v>454200</v>
      </c>
      <c r="G16" s="3"/>
      <c r="H16" s="3"/>
      <c r="I16" s="4">
        <v>20.0</v>
      </c>
      <c r="J16" s="5">
        <v>16500.0</v>
      </c>
      <c r="K16" s="9">
        <f t="shared" si="2"/>
        <v>330000</v>
      </c>
      <c r="L16" s="9">
        <f t="shared" si="3"/>
        <v>280500</v>
      </c>
      <c r="M16" s="3"/>
      <c r="N16" s="3"/>
      <c r="O16" s="4">
        <v>6000.0</v>
      </c>
      <c r="P16" s="38">
        <f t="shared" si="7"/>
        <v>6250</v>
      </c>
      <c r="Q16" s="4">
        <v>500.0</v>
      </c>
      <c r="R16" s="5">
        <f>((O16*69)+(P16*129)+(Q16*299))*2</f>
        <v>2739500</v>
      </c>
      <c r="S16" s="3"/>
      <c r="T16" s="9">
        <f>sum(F16,L16,R16,D7,A3)</f>
        <v>5049200</v>
      </c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9">
        <f>sum(F13:F16)</f>
        <v>1650750</v>
      </c>
      <c r="G17" s="3"/>
      <c r="H17" s="3"/>
      <c r="I17" s="3"/>
      <c r="J17" s="15"/>
      <c r="K17" s="3"/>
      <c r="L17" s="39">
        <f>sum(L13:L16)</f>
        <v>1338750</v>
      </c>
      <c r="M17" s="3"/>
      <c r="N17" s="3"/>
      <c r="O17" s="3"/>
      <c r="P17" s="3"/>
      <c r="Q17" s="3"/>
      <c r="R17" s="39">
        <f>sum(R13:R16)</f>
        <v>10481310</v>
      </c>
      <c r="S17" s="3"/>
      <c r="T17" s="39">
        <f>sum(T13:T16)</f>
        <v>19770810</v>
      </c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8" t="s">
        <v>65</v>
      </c>
      <c r="B19" s="3"/>
      <c r="C19" s="3"/>
      <c r="D19" s="3"/>
      <c r="E19" s="3"/>
      <c r="F19" s="3"/>
      <c r="G19" s="3"/>
      <c r="H19" s="3"/>
      <c r="I19" s="28" t="s">
        <v>65</v>
      </c>
      <c r="J19" s="3"/>
      <c r="K19" s="3"/>
      <c r="L19" s="3"/>
      <c r="M19" s="3"/>
      <c r="N19" s="3"/>
      <c r="O19" s="28" t="s">
        <v>65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76</v>
      </c>
      <c r="B20" s="1" t="s">
        <v>77</v>
      </c>
      <c r="C20" s="1" t="s">
        <v>78</v>
      </c>
      <c r="D20" s="1" t="s">
        <v>77</v>
      </c>
      <c r="E20" s="1" t="s">
        <v>79</v>
      </c>
      <c r="F20" s="37" t="s">
        <v>80</v>
      </c>
      <c r="G20" s="3"/>
      <c r="H20" s="3"/>
      <c r="I20" s="37" t="s">
        <v>81</v>
      </c>
      <c r="J20" s="37" t="s">
        <v>82</v>
      </c>
      <c r="K20" s="37" t="s">
        <v>24</v>
      </c>
      <c r="L20" s="37" t="s">
        <v>83</v>
      </c>
      <c r="M20" s="3"/>
      <c r="N20" s="3"/>
      <c r="O20" s="37" t="s">
        <v>84</v>
      </c>
      <c r="P20" s="37" t="s">
        <v>85</v>
      </c>
      <c r="Q20" s="37" t="s">
        <v>86</v>
      </c>
      <c r="R20" s="40" t="s">
        <v>87</v>
      </c>
      <c r="S20" s="3"/>
      <c r="T20" s="29" t="s">
        <v>88</v>
      </c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>
        <v>450.0</v>
      </c>
      <c r="B21" s="5">
        <v>6000.0</v>
      </c>
      <c r="C21" s="4">
        <f t="shared" ref="C21:C24" si="10">0.8*P21</f>
        <v>4800</v>
      </c>
      <c r="D21" s="5">
        <v>360.0</v>
      </c>
      <c r="E21" s="9">
        <f>(A21*B21+C21*D21)*2</f>
        <v>8856000</v>
      </c>
      <c r="F21" s="9">
        <f t="shared" ref="F21:F24" si="11">E21*0.05</f>
        <v>442800</v>
      </c>
      <c r="G21" s="3"/>
      <c r="H21" s="3"/>
      <c r="I21" s="4">
        <v>20.0</v>
      </c>
      <c r="J21" s="5">
        <v>17000.0</v>
      </c>
      <c r="K21" s="9">
        <f t="shared" ref="K21:K24" si="12">J21*I21</f>
        <v>340000</v>
      </c>
      <c r="L21" s="9">
        <f t="shared" ref="L21:L24" si="13">0.85*K21</f>
        <v>289000</v>
      </c>
      <c r="M21" s="3"/>
      <c r="N21" s="3"/>
      <c r="O21" s="4">
        <v>6000.0</v>
      </c>
      <c r="P21" s="4">
        <v>6000.0</v>
      </c>
      <c r="Q21" s="4">
        <v>460.0</v>
      </c>
      <c r="R21" s="5">
        <f>((O21*69)+(P21*129)+(Q21*299))*2</f>
        <v>2651080</v>
      </c>
      <c r="S21" s="3"/>
      <c r="T21" s="9">
        <f>sum(R21,L21,F21,B3,D7)</f>
        <v>5457880</v>
      </c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>
        <v>460.0</v>
      </c>
      <c r="B22" s="5">
        <v>6500.0</v>
      </c>
      <c r="C22" s="4">
        <f t="shared" si="10"/>
        <v>5760</v>
      </c>
      <c r="D22" s="5">
        <v>380.0</v>
      </c>
      <c r="E22" s="9">
        <f t="shared" ref="E22:E23" si="14">(A22*B22+C22*D22)*3</f>
        <v>15536400</v>
      </c>
      <c r="F22" s="9">
        <f t="shared" si="11"/>
        <v>776820</v>
      </c>
      <c r="G22" s="3"/>
      <c r="H22" s="3"/>
      <c r="I22" s="4">
        <v>30.0</v>
      </c>
      <c r="J22" s="5">
        <v>17500.0</v>
      </c>
      <c r="K22" s="9">
        <f t="shared" si="12"/>
        <v>525000</v>
      </c>
      <c r="L22" s="9">
        <f t="shared" si="13"/>
        <v>446250</v>
      </c>
      <c r="M22" s="3"/>
      <c r="N22" s="3"/>
      <c r="O22" s="4">
        <f t="shared" ref="O22:O23" si="15">O21+O21*0.2</f>
        <v>7200</v>
      </c>
      <c r="P22" s="4">
        <f>P21+0.2*P21</f>
        <v>7200</v>
      </c>
      <c r="Q22" s="4">
        <v>480.0</v>
      </c>
      <c r="R22" s="5">
        <f t="shared" ref="R22:R23" si="16">((O22*69)+(P22*129)+(Q22*299))*3</f>
        <v>4707360</v>
      </c>
      <c r="S22" s="3"/>
      <c r="T22" s="9">
        <f>sum(R22,L22,F22,B3,D7)</f>
        <v>8005430</v>
      </c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>
        <v>470.0</v>
      </c>
      <c r="B23" s="5">
        <v>6500.0</v>
      </c>
      <c r="C23" s="4">
        <f t="shared" si="10"/>
        <v>6400</v>
      </c>
      <c r="D23" s="5">
        <v>400.0</v>
      </c>
      <c r="E23" s="9">
        <f t="shared" si="14"/>
        <v>16845000</v>
      </c>
      <c r="F23" s="9">
        <f t="shared" si="11"/>
        <v>842250</v>
      </c>
      <c r="G23" s="3"/>
      <c r="H23" s="3"/>
      <c r="I23" s="4">
        <v>30.0</v>
      </c>
      <c r="J23" s="5">
        <v>18000.0</v>
      </c>
      <c r="K23" s="9">
        <f t="shared" si="12"/>
        <v>540000</v>
      </c>
      <c r="L23" s="9">
        <f t="shared" si="13"/>
        <v>459000</v>
      </c>
      <c r="M23" s="3"/>
      <c r="N23" s="3"/>
      <c r="O23" s="4">
        <f t="shared" si="15"/>
        <v>8640</v>
      </c>
      <c r="P23" s="4">
        <v>8000.0</v>
      </c>
      <c r="Q23" s="4">
        <v>500.0</v>
      </c>
      <c r="R23" s="5">
        <f t="shared" si="16"/>
        <v>5332980</v>
      </c>
      <c r="S23" s="3"/>
      <c r="T23" s="9">
        <f>sum(R23,L23,F23,B3,D7)</f>
        <v>8709230</v>
      </c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>
        <v>480.0</v>
      </c>
      <c r="B24" s="5">
        <v>6500.0</v>
      </c>
      <c r="C24" s="4">
        <f t="shared" si="10"/>
        <v>6400</v>
      </c>
      <c r="D24" s="5">
        <v>420.0</v>
      </c>
      <c r="E24" s="9">
        <f>(A24*B24+C24*D24)*2</f>
        <v>11616000</v>
      </c>
      <c r="F24" s="9">
        <f t="shared" si="11"/>
        <v>580800</v>
      </c>
      <c r="G24" s="3"/>
      <c r="H24" s="3"/>
      <c r="I24" s="4">
        <v>20.0</v>
      </c>
      <c r="J24" s="5">
        <v>18500.0</v>
      </c>
      <c r="K24" s="9">
        <f t="shared" si="12"/>
        <v>370000</v>
      </c>
      <c r="L24" s="9">
        <f t="shared" si="13"/>
        <v>314500</v>
      </c>
      <c r="M24" s="3"/>
      <c r="N24" s="3"/>
      <c r="O24" s="4">
        <v>10000.0</v>
      </c>
      <c r="P24" s="4">
        <v>8000.0</v>
      </c>
      <c r="Q24" s="4">
        <v>500.0</v>
      </c>
      <c r="R24" s="5">
        <f>((O24*69)+(P24*129)+(Q24*299))*2</f>
        <v>3743000</v>
      </c>
      <c r="S24" s="3"/>
      <c r="T24" s="9">
        <f>sum(R24,L24,F24,B3,D7)</f>
        <v>6713300</v>
      </c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9">
        <f>sum(F21:F24)</f>
        <v>2642670</v>
      </c>
      <c r="G25" s="3"/>
      <c r="H25" s="3"/>
      <c r="I25" s="3"/>
      <c r="J25" s="15"/>
      <c r="K25" s="3"/>
      <c r="L25" s="39">
        <f>sum(L21:L24)</f>
        <v>1508750</v>
      </c>
      <c r="M25" s="3"/>
      <c r="N25" s="3"/>
      <c r="O25" s="3"/>
      <c r="P25" s="3"/>
      <c r="Q25" s="3"/>
      <c r="R25" s="39">
        <f>sum(R21:R24)</f>
        <v>16434420</v>
      </c>
      <c r="S25" s="3"/>
      <c r="T25" s="39">
        <f>sum(T21:T24)</f>
        <v>28885840</v>
      </c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8" t="s">
        <v>66</v>
      </c>
      <c r="B27" s="3"/>
      <c r="C27" s="3"/>
      <c r="D27" s="3"/>
      <c r="E27" s="3"/>
      <c r="F27" s="3"/>
      <c r="G27" s="3"/>
      <c r="H27" s="3"/>
      <c r="I27" s="41" t="s">
        <v>66</v>
      </c>
      <c r="J27" s="42"/>
      <c r="K27" s="42"/>
      <c r="L27" s="42"/>
      <c r="M27" s="3"/>
      <c r="N27" s="3"/>
      <c r="O27" s="28" t="s">
        <v>66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76</v>
      </c>
      <c r="B28" s="1" t="s">
        <v>77</v>
      </c>
      <c r="C28" s="1" t="s">
        <v>78</v>
      </c>
      <c r="D28" s="1" t="s">
        <v>77</v>
      </c>
      <c r="E28" s="1" t="s">
        <v>79</v>
      </c>
      <c r="F28" s="37" t="s">
        <v>80</v>
      </c>
      <c r="G28" s="3"/>
      <c r="H28" s="3"/>
      <c r="I28" s="37" t="s">
        <v>81</v>
      </c>
      <c r="J28" s="43" t="s">
        <v>82</v>
      </c>
      <c r="K28" s="43" t="s">
        <v>24</v>
      </c>
      <c r="L28" s="43" t="s">
        <v>83</v>
      </c>
      <c r="M28" s="3"/>
      <c r="N28" s="3"/>
      <c r="O28" s="37" t="s">
        <v>84</v>
      </c>
      <c r="P28" s="37" t="s">
        <v>85</v>
      </c>
      <c r="Q28" s="37" t="s">
        <v>86</v>
      </c>
      <c r="R28" s="40" t="s">
        <v>87</v>
      </c>
      <c r="S28" s="3"/>
      <c r="T28" s="29" t="s">
        <v>88</v>
      </c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>
        <v>490.0</v>
      </c>
      <c r="B29" s="5">
        <v>7000.0</v>
      </c>
      <c r="C29" s="4">
        <f t="shared" ref="C29:C32" si="17">P29*0.8</f>
        <v>6400</v>
      </c>
      <c r="D29" s="5">
        <v>440.0</v>
      </c>
      <c r="E29" s="9">
        <f>(A29*B29+C29*D29)*2</f>
        <v>12492000</v>
      </c>
      <c r="F29" s="9">
        <f t="shared" ref="F29:F32" si="18">E29*0.05</f>
        <v>624600</v>
      </c>
      <c r="G29" s="3"/>
      <c r="H29" s="3"/>
      <c r="I29" s="44">
        <v>20.0</v>
      </c>
      <c r="J29" s="45">
        <v>19000.0</v>
      </c>
      <c r="K29" s="46">
        <f t="shared" ref="K29:K32" si="19">J29*I29</f>
        <v>380000</v>
      </c>
      <c r="L29" s="46">
        <f t="shared" ref="L29:L32" si="20">0.85*K29</f>
        <v>323000</v>
      </c>
      <c r="M29" s="3"/>
      <c r="N29" s="3"/>
      <c r="O29" s="4">
        <v>10000.0</v>
      </c>
      <c r="P29" s="4">
        <v>8000.0</v>
      </c>
      <c r="Q29" s="4">
        <v>500.0</v>
      </c>
      <c r="R29" s="5">
        <f>((O29*69)+(P29*129)+(Q29*299))*2</f>
        <v>3743000</v>
      </c>
      <c r="S29" s="3"/>
      <c r="T29" s="9">
        <f>sum(R29,L29,F29,C3,D7)</f>
        <v>7265600</v>
      </c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>
        <v>490.0</v>
      </c>
      <c r="B30" s="5">
        <v>7000.0</v>
      </c>
      <c r="C30" s="4">
        <f t="shared" si="17"/>
        <v>6400</v>
      </c>
      <c r="D30" s="5">
        <v>460.0</v>
      </c>
      <c r="E30" s="9">
        <f t="shared" ref="E30:E31" si="21">(A30*B30+C30*D30)*3</f>
        <v>19122000</v>
      </c>
      <c r="F30" s="9">
        <f t="shared" si="18"/>
        <v>956100</v>
      </c>
      <c r="G30" s="3"/>
      <c r="H30" s="3"/>
      <c r="I30" s="44">
        <v>30.0</v>
      </c>
      <c r="J30" s="45">
        <v>19500.0</v>
      </c>
      <c r="K30" s="46">
        <f t="shared" si="19"/>
        <v>585000</v>
      </c>
      <c r="L30" s="46">
        <f t="shared" si="20"/>
        <v>497250</v>
      </c>
      <c r="M30" s="3"/>
      <c r="N30" s="3"/>
      <c r="O30" s="4">
        <v>10000.0</v>
      </c>
      <c r="P30" s="4">
        <v>8000.0</v>
      </c>
      <c r="Q30" s="4">
        <v>500.0</v>
      </c>
      <c r="R30" s="5">
        <f t="shared" ref="R30:R31" si="22">((O30*69)+(P30*129)+(Q30*299))*3</f>
        <v>5614500</v>
      </c>
      <c r="S30" s="3"/>
      <c r="T30" s="9">
        <f>sum(R30,L30,F30,C3,D7)</f>
        <v>9642850</v>
      </c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>
        <v>490.0</v>
      </c>
      <c r="B31" s="5">
        <v>7500.0</v>
      </c>
      <c r="C31" s="4">
        <f t="shared" si="17"/>
        <v>6400</v>
      </c>
      <c r="D31" s="5">
        <v>480.0</v>
      </c>
      <c r="E31" s="9">
        <f t="shared" si="21"/>
        <v>20241000</v>
      </c>
      <c r="F31" s="9">
        <f t="shared" si="18"/>
        <v>1012050</v>
      </c>
      <c r="G31" s="3"/>
      <c r="H31" s="3"/>
      <c r="I31" s="44">
        <v>30.0</v>
      </c>
      <c r="J31" s="45">
        <v>20000.0</v>
      </c>
      <c r="K31" s="46">
        <f t="shared" si="19"/>
        <v>600000</v>
      </c>
      <c r="L31" s="46">
        <f t="shared" si="20"/>
        <v>510000</v>
      </c>
      <c r="M31" s="3"/>
      <c r="N31" s="3"/>
      <c r="O31" s="4">
        <v>10000.0</v>
      </c>
      <c r="P31" s="4">
        <v>8000.0</v>
      </c>
      <c r="Q31" s="4">
        <v>500.0</v>
      </c>
      <c r="R31" s="5">
        <f t="shared" si="22"/>
        <v>5614500</v>
      </c>
      <c r="S31" s="3"/>
      <c r="T31" s="9">
        <f>sum(R31,L31,F31,C3,D7)</f>
        <v>9711550</v>
      </c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>
        <v>490.0</v>
      </c>
      <c r="B32" s="5">
        <v>7500.0</v>
      </c>
      <c r="C32" s="4">
        <f t="shared" si="17"/>
        <v>6400</v>
      </c>
      <c r="D32" s="5">
        <v>500.0</v>
      </c>
      <c r="E32" s="9">
        <f>(A32*B32+C32*D32)*2</f>
        <v>13750000</v>
      </c>
      <c r="F32" s="9">
        <f t="shared" si="18"/>
        <v>687500</v>
      </c>
      <c r="G32" s="3"/>
      <c r="H32" s="3"/>
      <c r="I32" s="44">
        <v>20.0</v>
      </c>
      <c r="J32" s="45">
        <v>20500.0</v>
      </c>
      <c r="K32" s="46">
        <f t="shared" si="19"/>
        <v>410000</v>
      </c>
      <c r="L32" s="46">
        <f t="shared" si="20"/>
        <v>348500</v>
      </c>
      <c r="M32" s="3"/>
      <c r="N32" s="3"/>
      <c r="O32" s="4">
        <v>10000.0</v>
      </c>
      <c r="P32" s="4">
        <v>8000.0</v>
      </c>
      <c r="Q32" s="4">
        <v>500.0</v>
      </c>
      <c r="R32" s="5">
        <f>((O32*69)+(P32*129)+(Q32*299))*2</f>
        <v>3743000</v>
      </c>
      <c r="S32" s="3"/>
      <c r="T32" s="9">
        <f>sum(R32,L32,F32,C3,D7)</f>
        <v>7354000</v>
      </c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9">
        <f>sum(F29:F32)</f>
        <v>3280250</v>
      </c>
      <c r="G33" s="3"/>
      <c r="H33" s="3"/>
      <c r="I33" s="42"/>
      <c r="J33" s="47"/>
      <c r="K33" s="42"/>
      <c r="L33" s="48">
        <f>sum(L29:L32)</f>
        <v>1678750</v>
      </c>
      <c r="M33" s="3"/>
      <c r="N33" s="3"/>
      <c r="O33" s="3"/>
      <c r="P33" s="3"/>
      <c r="Q33" s="3"/>
      <c r="R33" s="39">
        <f>sum(R29:R32)</f>
        <v>18715000</v>
      </c>
      <c r="S33" s="3"/>
      <c r="T33" s="39">
        <f>sum(T29:T32)</f>
        <v>33974000</v>
      </c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28" t="s">
        <v>93</v>
      </c>
      <c r="L37" s="2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29" t="s">
        <v>94</v>
      </c>
      <c r="L38" s="29" t="s">
        <v>88</v>
      </c>
      <c r="M38" s="29" t="s">
        <v>95</v>
      </c>
      <c r="N38" s="29" t="s">
        <v>96</v>
      </c>
      <c r="O38" s="29" t="s">
        <v>97</v>
      </c>
      <c r="P38" s="29" t="s">
        <v>98</v>
      </c>
      <c r="Q38" s="29" t="s">
        <v>99</v>
      </c>
      <c r="R38" s="36"/>
      <c r="S38" s="29" t="s">
        <v>100</v>
      </c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6" t="s">
        <v>101</v>
      </c>
      <c r="J39" s="6" t="s">
        <v>102</v>
      </c>
      <c r="K39" s="4">
        <v>0.0</v>
      </c>
      <c r="L39" s="5">
        <v>0.0</v>
      </c>
      <c r="M39" s="9">
        <f>'Operating Cost'!G28</f>
        <v>6389220</v>
      </c>
      <c r="N39" s="5">
        <v>0.0</v>
      </c>
      <c r="O39" s="5">
        <f>0+M39</f>
        <v>6389220</v>
      </c>
      <c r="P39" s="9">
        <f t="shared" ref="P39:P44" si="23">M39-L39</f>
        <v>6389220</v>
      </c>
      <c r="Q39" s="38"/>
      <c r="R39" s="36"/>
      <c r="S39" s="9">
        <f t="shared" ref="S39:S59" si="24">L39-O39</f>
        <v>-6389220</v>
      </c>
      <c r="T39" s="3"/>
      <c r="U39" s="3"/>
      <c r="V39" s="3"/>
      <c r="W39" s="3"/>
      <c r="X39" s="3"/>
      <c r="Y39" s="3"/>
      <c r="Z39" s="3"/>
      <c r="AA39" s="6" t="s">
        <v>87</v>
      </c>
      <c r="AB39" s="15">
        <f>V13</f>
        <v>10481310</v>
      </c>
      <c r="AC39" s="3"/>
    </row>
    <row r="40">
      <c r="A40" s="3"/>
      <c r="B40" s="3"/>
      <c r="C40" s="3"/>
      <c r="D40" s="3"/>
      <c r="E40" s="3"/>
      <c r="F40" s="3"/>
      <c r="G40" s="3"/>
      <c r="H40" s="3"/>
      <c r="I40" s="27">
        <f t="shared" ref="I40:I43" si="25">T13-Q40</f>
        <v>3019409.05</v>
      </c>
      <c r="J40" s="27">
        <f>'Operating Cost'!G29</f>
        <v>3501205.71</v>
      </c>
      <c r="K40" s="4">
        <v>1.0</v>
      </c>
      <c r="L40" s="5">
        <f>I40</f>
        <v>3019409.05</v>
      </c>
      <c r="M40" s="9">
        <f>J40+M39</f>
        <v>9890425.71</v>
      </c>
      <c r="N40" s="9">
        <f t="shared" ref="N40:N43" si="26">(0.7*L40)</f>
        <v>2113586.335</v>
      </c>
      <c r="O40" s="5">
        <f t="shared" ref="O40:O44" si="27">M40</f>
        <v>9890425.71</v>
      </c>
      <c r="P40" s="9">
        <f t="shared" si="23"/>
        <v>6871016.661</v>
      </c>
      <c r="Q40" s="9">
        <f>L66</f>
        <v>585190.9505</v>
      </c>
      <c r="R40" s="36"/>
      <c r="S40" s="9">
        <f t="shared" si="24"/>
        <v>-6871016.661</v>
      </c>
      <c r="T40" s="3"/>
      <c r="U40" s="3"/>
      <c r="V40" s="3"/>
      <c r="W40" s="3"/>
      <c r="X40" s="3"/>
      <c r="Y40" s="3"/>
      <c r="Z40" s="3"/>
      <c r="AA40" s="6" t="s">
        <v>90</v>
      </c>
      <c r="AB40" s="15">
        <f>W13</f>
        <v>1650750</v>
      </c>
      <c r="AC40" s="3"/>
    </row>
    <row r="41">
      <c r="A41" s="3"/>
      <c r="B41" s="3"/>
      <c r="C41" s="3"/>
      <c r="D41" s="3"/>
      <c r="E41" s="3"/>
      <c r="F41" s="3"/>
      <c r="G41" s="3"/>
      <c r="H41" s="3"/>
      <c r="I41" s="27">
        <f t="shared" si="25"/>
        <v>4626394.05</v>
      </c>
      <c r="J41" s="27">
        <f>'Operating Cost'!G30</f>
        <v>3501205.71</v>
      </c>
      <c r="K41" s="4">
        <v>2.0</v>
      </c>
      <c r="L41" s="9">
        <f>I41+L40</f>
        <v>7645803.099</v>
      </c>
      <c r="M41" s="9">
        <f>M40+J41</f>
        <v>13391631.42</v>
      </c>
      <c r="N41" s="9">
        <f t="shared" si="26"/>
        <v>5352062.169</v>
      </c>
      <c r="O41" s="5">
        <f t="shared" si="27"/>
        <v>13391631.42</v>
      </c>
      <c r="P41" s="9">
        <f t="shared" si="23"/>
        <v>5745828.321</v>
      </c>
      <c r="Q41" s="9">
        <f t="shared" ref="Q41:Q59" si="29">Q40</f>
        <v>585190.9505</v>
      </c>
      <c r="R41" s="36"/>
      <c r="S41" s="9">
        <f t="shared" si="24"/>
        <v>-5745828.321</v>
      </c>
      <c r="T41" s="3"/>
      <c r="U41" s="3"/>
      <c r="V41" s="3"/>
      <c r="W41" s="3"/>
      <c r="X41" s="3"/>
      <c r="Y41" s="3"/>
      <c r="Z41" s="3"/>
      <c r="AA41" s="6" t="s">
        <v>91</v>
      </c>
      <c r="AB41" s="15">
        <f>X13</f>
        <v>1338750</v>
      </c>
      <c r="AC41" s="3"/>
    </row>
    <row r="42">
      <c r="A42" s="3"/>
      <c r="B42" s="3"/>
      <c r="C42" s="3"/>
      <c r="D42" s="3"/>
      <c r="E42" s="3"/>
      <c r="F42" s="3"/>
      <c r="G42" s="3"/>
      <c r="H42" s="3"/>
      <c r="I42" s="27">
        <f t="shared" si="25"/>
        <v>5320234.05</v>
      </c>
      <c r="J42" s="27">
        <f>'Operating Cost'!G31</f>
        <v>3501205.71</v>
      </c>
      <c r="K42" s="4">
        <v>3.0</v>
      </c>
      <c r="L42" s="9">
        <f t="shared" ref="L42:M42" si="28">L41+I42</f>
        <v>12966037.15</v>
      </c>
      <c r="M42" s="9">
        <f t="shared" si="28"/>
        <v>16892837.13</v>
      </c>
      <c r="N42" s="9">
        <f t="shared" si="26"/>
        <v>9076226.004</v>
      </c>
      <c r="O42" s="5">
        <f t="shared" si="27"/>
        <v>16892837.13</v>
      </c>
      <c r="P42" s="9">
        <f t="shared" si="23"/>
        <v>3926799.982</v>
      </c>
      <c r="Q42" s="9">
        <f t="shared" si="29"/>
        <v>585190.9505</v>
      </c>
      <c r="R42" s="36"/>
      <c r="S42" s="9">
        <f t="shared" si="24"/>
        <v>-3926799.982</v>
      </c>
      <c r="T42" s="3"/>
      <c r="U42" s="3"/>
      <c r="V42" s="3"/>
      <c r="W42" s="3"/>
      <c r="X42" s="3"/>
      <c r="Y42" s="3"/>
      <c r="Z42" s="3"/>
      <c r="AA42" s="6" t="s">
        <v>92</v>
      </c>
      <c r="AB42" s="15">
        <f>Y13</f>
        <v>6000000</v>
      </c>
      <c r="AC42" s="3"/>
    </row>
    <row r="43">
      <c r="A43" s="3"/>
      <c r="B43" s="3"/>
      <c r="C43" s="3"/>
      <c r="D43" s="3"/>
      <c r="E43" s="3"/>
      <c r="F43" s="3"/>
      <c r="G43" s="3"/>
      <c r="H43" s="3"/>
      <c r="I43" s="27">
        <f t="shared" si="25"/>
        <v>4464009.05</v>
      </c>
      <c r="J43" s="27">
        <f>'Operating Cost'!G32</f>
        <v>3501205.71</v>
      </c>
      <c r="K43" s="4">
        <v>4.0</v>
      </c>
      <c r="L43" s="9">
        <f t="shared" ref="L43:M43" si="30">L42+I43</f>
        <v>17430046.2</v>
      </c>
      <c r="M43" s="9">
        <f t="shared" si="30"/>
        <v>20394042.84</v>
      </c>
      <c r="N43" s="9">
        <f t="shared" si="26"/>
        <v>12201032.34</v>
      </c>
      <c r="O43" s="5">
        <f t="shared" si="27"/>
        <v>20394042.84</v>
      </c>
      <c r="P43" s="9">
        <f t="shared" si="23"/>
        <v>2963996.642</v>
      </c>
      <c r="Q43" s="9">
        <f t="shared" si="29"/>
        <v>585190.9505</v>
      </c>
      <c r="R43" s="36"/>
      <c r="S43" s="9">
        <f t="shared" si="24"/>
        <v>-2963996.642</v>
      </c>
      <c r="T43" s="3"/>
      <c r="U43" s="3"/>
      <c r="V43" s="3"/>
      <c r="W43" s="3"/>
      <c r="X43" s="3"/>
      <c r="Y43" s="3"/>
      <c r="Z43" s="3"/>
      <c r="AA43" s="6" t="s">
        <v>68</v>
      </c>
      <c r="AB43" s="15">
        <f>D6</f>
        <v>300000</v>
      </c>
      <c r="AC43" s="3"/>
    </row>
    <row r="44">
      <c r="A44" s="3"/>
      <c r="B44" s="3"/>
      <c r="C44" s="3"/>
      <c r="D44" s="3"/>
      <c r="E44" s="3"/>
      <c r="F44" s="3"/>
      <c r="G44" s="3"/>
      <c r="H44" s="3"/>
      <c r="I44" s="27">
        <f t="shared" ref="I44:I47" si="32">T21-Q44</f>
        <v>4872689.05</v>
      </c>
      <c r="J44" s="27">
        <f>'Operating Cost'!G37</f>
        <v>3576326.281</v>
      </c>
      <c r="K44" s="4">
        <v>5.0</v>
      </c>
      <c r="L44" s="9">
        <f t="shared" ref="L44:M44" si="31">L43+I44</f>
        <v>22302735.25</v>
      </c>
      <c r="M44" s="9">
        <f t="shared" si="31"/>
        <v>23970369.12</v>
      </c>
      <c r="N44" s="9">
        <f>0.7*L44</f>
        <v>15611914.67</v>
      </c>
      <c r="O44" s="5">
        <f t="shared" si="27"/>
        <v>23970369.12</v>
      </c>
      <c r="P44" s="9">
        <f t="shared" si="23"/>
        <v>1667633.874</v>
      </c>
      <c r="Q44" s="9">
        <f t="shared" si="29"/>
        <v>585190.9505</v>
      </c>
      <c r="R44" s="36"/>
      <c r="S44" s="9">
        <f t="shared" si="24"/>
        <v>-1667633.874</v>
      </c>
      <c r="T44" s="3"/>
      <c r="U44" s="3"/>
      <c r="V44" s="3"/>
      <c r="W44" s="3"/>
      <c r="X44" s="3"/>
      <c r="Y44" s="3"/>
      <c r="Z44" s="3"/>
      <c r="AA44" s="3"/>
      <c r="AB44" s="3">
        <f>sum(AB38:AC43)</f>
        <v>19770810</v>
      </c>
      <c r="AC44" s="3"/>
    </row>
    <row r="45">
      <c r="A45" s="3"/>
      <c r="B45" s="3"/>
      <c r="C45" s="3"/>
      <c r="D45" s="3"/>
      <c r="E45" s="3"/>
      <c r="F45" s="3"/>
      <c r="G45" s="3"/>
      <c r="H45" s="3"/>
      <c r="I45" s="49">
        <f t="shared" si="32"/>
        <v>7420239.05</v>
      </c>
      <c r="J45" s="27">
        <f>'Operating Cost'!G38</f>
        <v>3576326.281</v>
      </c>
      <c r="K45" s="4">
        <v>6.0</v>
      </c>
      <c r="L45" s="9">
        <f t="shared" ref="L45:M45" si="33">L44+I45</f>
        <v>29722974.3</v>
      </c>
      <c r="M45" s="9">
        <f t="shared" si="33"/>
        <v>27546695.4</v>
      </c>
      <c r="N45" s="9">
        <f t="shared" ref="N45:N59" si="35">(0.7*L45)</f>
        <v>20806082.01</v>
      </c>
      <c r="O45" s="9">
        <f t="shared" ref="O45:O59" si="36">0.0675*(L45-M45)+M45</f>
        <v>27693594.23</v>
      </c>
      <c r="P45" s="39">
        <f>sum(P39:P44)</f>
        <v>27564495.48</v>
      </c>
      <c r="Q45" s="9">
        <f t="shared" si="29"/>
        <v>585190.9505</v>
      </c>
      <c r="R45" s="36"/>
      <c r="S45" s="9">
        <f t="shared" si="24"/>
        <v>2029380.07</v>
      </c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27">
        <f t="shared" si="32"/>
        <v>8124039.05</v>
      </c>
      <c r="J46" s="27">
        <f>'Operating Cost'!G39</f>
        <v>3576326.281</v>
      </c>
      <c r="K46" s="4">
        <v>7.0</v>
      </c>
      <c r="L46" s="9">
        <f t="shared" ref="L46:M46" si="34">L45+I46</f>
        <v>37847013.35</v>
      </c>
      <c r="M46" s="9">
        <f t="shared" si="34"/>
        <v>31123021.68</v>
      </c>
      <c r="N46" s="9">
        <f t="shared" si="35"/>
        <v>26492909.34</v>
      </c>
      <c r="O46" s="9">
        <f t="shared" si="36"/>
        <v>31576891.12</v>
      </c>
      <c r="P46" s="19"/>
      <c r="Q46" s="9">
        <f t="shared" si="29"/>
        <v>585190.9505</v>
      </c>
      <c r="R46" s="36"/>
      <c r="S46" s="9">
        <f t="shared" si="24"/>
        <v>6270122.226</v>
      </c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27">
        <f t="shared" si="32"/>
        <v>6128109.05</v>
      </c>
      <c r="J47" s="27">
        <f>'Operating Cost'!G40</f>
        <v>3576326.281</v>
      </c>
      <c r="K47" s="4">
        <v>8.0</v>
      </c>
      <c r="L47" s="9">
        <f t="shared" ref="L47:M47" si="37">L46+I47</f>
        <v>43975122.4</v>
      </c>
      <c r="M47" s="9">
        <f t="shared" si="37"/>
        <v>34699347.96</v>
      </c>
      <c r="N47" s="9">
        <f t="shared" si="35"/>
        <v>30782585.68</v>
      </c>
      <c r="O47" s="9">
        <f t="shared" si="36"/>
        <v>35325462.74</v>
      </c>
      <c r="P47" s="19"/>
      <c r="Q47" s="9">
        <f t="shared" si="29"/>
        <v>585190.9505</v>
      </c>
      <c r="R47" s="36"/>
      <c r="S47" s="9">
        <f t="shared" si="24"/>
        <v>8649659.658</v>
      </c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27">
        <f t="shared" ref="I48:I51" si="39">T29-Q48</f>
        <v>6680409.05</v>
      </c>
      <c r="J48" s="27">
        <f>'Operating Cost'!G45</f>
        <v>3658958.909</v>
      </c>
      <c r="K48" s="4">
        <v>9.0</v>
      </c>
      <c r="L48" s="9">
        <f t="shared" ref="L48:M48" si="38">L47+I48</f>
        <v>50655531.45</v>
      </c>
      <c r="M48" s="9">
        <f t="shared" si="38"/>
        <v>38358306.87</v>
      </c>
      <c r="N48" s="9">
        <f t="shared" si="35"/>
        <v>35458872.01</v>
      </c>
      <c r="O48" s="9">
        <f t="shared" si="36"/>
        <v>39188369.53</v>
      </c>
      <c r="P48" s="19"/>
      <c r="Q48" s="9">
        <f t="shared" si="29"/>
        <v>585190.9505</v>
      </c>
      <c r="R48" s="36"/>
      <c r="S48" s="9">
        <f t="shared" si="24"/>
        <v>11467161.91</v>
      </c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27">
        <f t="shared" si="39"/>
        <v>9057659.05</v>
      </c>
      <c r="J49" s="27">
        <f t="shared" ref="J49:J51" si="41">J48</f>
        <v>3658958.909</v>
      </c>
      <c r="K49" s="4">
        <v>10.0</v>
      </c>
      <c r="L49" s="9">
        <f t="shared" ref="L49:M49" si="40">L48+I49</f>
        <v>59713190.5</v>
      </c>
      <c r="M49" s="9">
        <f t="shared" si="40"/>
        <v>42017265.78</v>
      </c>
      <c r="N49" s="9">
        <f t="shared" si="35"/>
        <v>41799233.35</v>
      </c>
      <c r="O49" s="9">
        <f t="shared" si="36"/>
        <v>43211740.7</v>
      </c>
      <c r="P49" s="19"/>
      <c r="Q49" s="9">
        <f t="shared" si="29"/>
        <v>585190.9505</v>
      </c>
      <c r="R49" s="36"/>
      <c r="S49" s="9">
        <f t="shared" si="24"/>
        <v>16501449.79</v>
      </c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27">
        <f t="shared" si="39"/>
        <v>9126359.05</v>
      </c>
      <c r="J50" s="27">
        <f t="shared" si="41"/>
        <v>3658958.909</v>
      </c>
      <c r="K50" s="4">
        <v>11.0</v>
      </c>
      <c r="L50" s="9">
        <f t="shared" ref="L50:M50" si="42">L49+I50</f>
        <v>68839549.54</v>
      </c>
      <c r="M50" s="9">
        <f t="shared" si="42"/>
        <v>45676224.69</v>
      </c>
      <c r="N50" s="9">
        <f t="shared" si="35"/>
        <v>48187684.68</v>
      </c>
      <c r="O50" s="9">
        <f t="shared" si="36"/>
        <v>47239749.12</v>
      </c>
      <c r="P50" s="19"/>
      <c r="Q50" s="9">
        <f t="shared" si="29"/>
        <v>585190.9505</v>
      </c>
      <c r="R50" s="36"/>
      <c r="S50" s="9">
        <f t="shared" si="24"/>
        <v>21599800.43</v>
      </c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27">
        <f t="shared" si="39"/>
        <v>6768809.05</v>
      </c>
      <c r="J51" s="27">
        <f t="shared" si="41"/>
        <v>3658958.909</v>
      </c>
      <c r="K51" s="4">
        <v>12.0</v>
      </c>
      <c r="L51" s="9">
        <f t="shared" ref="L51:M51" si="43">L50+I51</f>
        <v>75608358.59</v>
      </c>
      <c r="M51" s="9">
        <f t="shared" si="43"/>
        <v>49335183.6</v>
      </c>
      <c r="N51" s="9">
        <f t="shared" si="35"/>
        <v>52925851.02</v>
      </c>
      <c r="O51" s="9">
        <f t="shared" si="36"/>
        <v>51108622.91</v>
      </c>
      <c r="P51" s="19"/>
      <c r="Q51" s="9">
        <f t="shared" si="29"/>
        <v>585190.9505</v>
      </c>
      <c r="R51" s="36"/>
      <c r="S51" s="9">
        <f t="shared" si="24"/>
        <v>24499735.68</v>
      </c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15">
        <f t="shared" ref="I52:I59" si="45">I48</f>
        <v>6680409.05</v>
      </c>
      <c r="J52" s="15">
        <f t="shared" ref="J52:J59" si="46">J48+0.1*J48</f>
        <v>4024854.8</v>
      </c>
      <c r="K52" s="4">
        <v>13.0</v>
      </c>
      <c r="L52" s="9">
        <f t="shared" ref="L52:M52" si="44">L51+I52</f>
        <v>82288767.64</v>
      </c>
      <c r="M52" s="9">
        <f t="shared" si="44"/>
        <v>53360038.4</v>
      </c>
      <c r="N52" s="9">
        <f t="shared" si="35"/>
        <v>57602137.35</v>
      </c>
      <c r="O52" s="9">
        <f t="shared" si="36"/>
        <v>55312727.62</v>
      </c>
      <c r="P52" s="19"/>
      <c r="Q52" s="9">
        <f t="shared" si="29"/>
        <v>585190.9505</v>
      </c>
      <c r="R52" s="36"/>
      <c r="S52" s="9">
        <f t="shared" si="24"/>
        <v>26976040.02</v>
      </c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15">
        <f t="shared" si="45"/>
        <v>9057659.05</v>
      </c>
      <c r="J53" s="15">
        <f t="shared" si="46"/>
        <v>4024854.8</v>
      </c>
      <c r="K53" s="4">
        <v>14.0</v>
      </c>
      <c r="L53" s="9">
        <f t="shared" ref="L53:M53" si="47">L52+I53</f>
        <v>91346426.69</v>
      </c>
      <c r="M53" s="9">
        <f t="shared" si="47"/>
        <v>57384893.2</v>
      </c>
      <c r="N53" s="9">
        <f t="shared" si="35"/>
        <v>63942498.69</v>
      </c>
      <c r="O53" s="9">
        <f t="shared" si="36"/>
        <v>59677296.71</v>
      </c>
      <c r="P53" s="19"/>
      <c r="Q53" s="9">
        <f t="shared" si="29"/>
        <v>585190.9505</v>
      </c>
      <c r="R53" s="36"/>
      <c r="S53" s="9">
        <f t="shared" si="24"/>
        <v>31669129.98</v>
      </c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15">
        <f t="shared" si="45"/>
        <v>9126359.05</v>
      </c>
      <c r="J54" s="15">
        <f t="shared" si="46"/>
        <v>4024854.8</v>
      </c>
      <c r="K54" s="4">
        <v>15.0</v>
      </c>
      <c r="L54" s="9">
        <f t="shared" ref="L54:M54" si="48">L53+I54</f>
        <v>100472785.7</v>
      </c>
      <c r="M54" s="9">
        <f t="shared" si="48"/>
        <v>61409748</v>
      </c>
      <c r="N54" s="9">
        <f t="shared" si="35"/>
        <v>70330950.02</v>
      </c>
      <c r="O54" s="9">
        <f t="shared" si="36"/>
        <v>64046503.05</v>
      </c>
      <c r="P54" s="19"/>
      <c r="Q54" s="9">
        <f t="shared" si="29"/>
        <v>585190.9505</v>
      </c>
      <c r="R54" s="36"/>
      <c r="S54" s="9">
        <f t="shared" si="24"/>
        <v>36426282.69</v>
      </c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15">
        <f t="shared" si="45"/>
        <v>6768809.05</v>
      </c>
      <c r="J55" s="15">
        <f t="shared" si="46"/>
        <v>4024854.8</v>
      </c>
      <c r="K55" s="4">
        <v>16.0</v>
      </c>
      <c r="L55" s="9">
        <f t="shared" ref="L55:M55" si="49">L54+I55</f>
        <v>107241594.8</v>
      </c>
      <c r="M55" s="9">
        <f t="shared" si="49"/>
        <v>65434602.8</v>
      </c>
      <c r="N55" s="9">
        <f t="shared" si="35"/>
        <v>75069116.35</v>
      </c>
      <c r="O55" s="9">
        <f t="shared" si="36"/>
        <v>68256574.76</v>
      </c>
      <c r="P55" s="19"/>
      <c r="Q55" s="9">
        <f t="shared" si="29"/>
        <v>585190.9505</v>
      </c>
      <c r="R55" s="36"/>
      <c r="S55" s="9">
        <f t="shared" si="24"/>
        <v>38985020.03</v>
      </c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15">
        <f t="shared" si="45"/>
        <v>6680409.05</v>
      </c>
      <c r="J56" s="25">
        <f t="shared" si="46"/>
        <v>4427340.28</v>
      </c>
      <c r="K56" s="4">
        <v>17.0</v>
      </c>
      <c r="L56" s="9">
        <f t="shared" ref="L56:M56" si="50">L55+I56</f>
        <v>113922003.8</v>
      </c>
      <c r="M56" s="9">
        <f t="shared" si="50"/>
        <v>69861943.08</v>
      </c>
      <c r="N56" s="9">
        <f t="shared" si="35"/>
        <v>79745402.69</v>
      </c>
      <c r="O56" s="9">
        <f t="shared" si="36"/>
        <v>72835997.18</v>
      </c>
      <c r="P56" s="3"/>
      <c r="Q56" s="9">
        <f t="shared" si="29"/>
        <v>585190.9505</v>
      </c>
      <c r="R56" s="36"/>
      <c r="S56" s="9">
        <f t="shared" si="24"/>
        <v>41086006.66</v>
      </c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15">
        <f t="shared" si="45"/>
        <v>9057659.05</v>
      </c>
      <c r="J57" s="25">
        <f t="shared" si="46"/>
        <v>4427340.28</v>
      </c>
      <c r="K57" s="4">
        <v>18.0</v>
      </c>
      <c r="L57" s="9">
        <f t="shared" ref="L57:M57" si="51">L56+I57</f>
        <v>122979662.9</v>
      </c>
      <c r="M57" s="9">
        <f t="shared" si="51"/>
        <v>74289283.36</v>
      </c>
      <c r="N57" s="9">
        <f t="shared" si="35"/>
        <v>86085764.02</v>
      </c>
      <c r="O57" s="9">
        <f t="shared" si="36"/>
        <v>77575883.98</v>
      </c>
      <c r="P57" s="3"/>
      <c r="Q57" s="9">
        <f t="shared" si="29"/>
        <v>585190.9505</v>
      </c>
      <c r="R57" s="36"/>
      <c r="S57" s="9">
        <f t="shared" si="24"/>
        <v>45403778.91</v>
      </c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6" t="s">
        <v>103</v>
      </c>
      <c r="B58" s="3"/>
      <c r="C58" s="3"/>
      <c r="D58" s="3"/>
      <c r="E58" s="3"/>
      <c r="F58" s="3"/>
      <c r="G58" s="3"/>
      <c r="H58" s="3"/>
      <c r="I58" s="15">
        <f t="shared" si="45"/>
        <v>9126359.05</v>
      </c>
      <c r="J58" s="25">
        <f t="shared" si="46"/>
        <v>4427340.28</v>
      </c>
      <c r="K58" s="4">
        <v>19.0</v>
      </c>
      <c r="L58" s="9">
        <f t="shared" ref="L58:M58" si="52">L57+I58</f>
        <v>132106021.9</v>
      </c>
      <c r="M58" s="9">
        <f t="shared" si="52"/>
        <v>78716623.64</v>
      </c>
      <c r="N58" s="9">
        <f t="shared" si="35"/>
        <v>92474215.36</v>
      </c>
      <c r="O58" s="9">
        <f t="shared" si="36"/>
        <v>82320408.03</v>
      </c>
      <c r="P58" s="3"/>
      <c r="Q58" s="9">
        <f t="shared" si="29"/>
        <v>585190.9505</v>
      </c>
      <c r="R58" s="36"/>
      <c r="S58" s="9">
        <f t="shared" si="24"/>
        <v>49785613.91</v>
      </c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50" t="s">
        <v>104</v>
      </c>
      <c r="B59" s="50" t="s">
        <v>105</v>
      </c>
      <c r="C59" s="50" t="s">
        <v>106</v>
      </c>
      <c r="D59" s="3"/>
      <c r="E59" s="3"/>
      <c r="F59" s="50" t="s">
        <v>107</v>
      </c>
      <c r="G59" s="51">
        <f>P62*0.4</f>
        <v>10000000</v>
      </c>
      <c r="H59" s="3"/>
      <c r="I59" s="15">
        <f t="shared" si="45"/>
        <v>6768809.05</v>
      </c>
      <c r="J59" s="25">
        <f t="shared" si="46"/>
        <v>4427340.28</v>
      </c>
      <c r="K59" s="4">
        <v>20.0</v>
      </c>
      <c r="L59" s="9">
        <f t="shared" ref="L59:M59" si="53">L58+I59</f>
        <v>138874831</v>
      </c>
      <c r="M59" s="9">
        <f t="shared" si="53"/>
        <v>83143963.92</v>
      </c>
      <c r="N59" s="9">
        <f t="shared" si="35"/>
        <v>97212381.69</v>
      </c>
      <c r="O59" s="9">
        <f t="shared" si="36"/>
        <v>86905797.45</v>
      </c>
      <c r="P59" s="3"/>
      <c r="Q59" s="9">
        <f t="shared" si="29"/>
        <v>585190.9505</v>
      </c>
      <c r="R59" s="36"/>
      <c r="S59" s="9">
        <f t="shared" si="24"/>
        <v>51969033.54</v>
      </c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50" t="s">
        <v>108</v>
      </c>
      <c r="B60" s="52">
        <f>(S43*0.3-G59)/G59</f>
        <v>-1.088919899</v>
      </c>
      <c r="C60" s="52">
        <f>B60</f>
        <v>-1.088919899</v>
      </c>
      <c r="D60" s="6">
        <v>1.0</v>
      </c>
      <c r="E60" s="3"/>
      <c r="F60" s="50" t="s">
        <v>109</v>
      </c>
      <c r="G60" s="53">
        <f>G59*B64+G59</f>
        <v>15590710.06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50" t="s">
        <v>110</v>
      </c>
      <c r="B61" s="52">
        <f>(S47*0.3-G59)/G59</f>
        <v>-0.7405102103</v>
      </c>
      <c r="C61" s="52">
        <f>B61/2</f>
        <v>-0.3702551051</v>
      </c>
      <c r="D61" s="6">
        <v>2.0</v>
      </c>
      <c r="E61" s="3"/>
      <c r="F61" s="3"/>
      <c r="G61" s="5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50" t="s">
        <v>111</v>
      </c>
      <c r="B62" s="52">
        <f>(S51*0.3-G59)/G59</f>
        <v>-0.2650079296</v>
      </c>
      <c r="C62" s="52">
        <f>B62/3</f>
        <v>-0.08833597652</v>
      </c>
      <c r="D62" s="6">
        <v>3.0</v>
      </c>
      <c r="E62" s="3"/>
      <c r="F62" s="50" t="s">
        <v>105</v>
      </c>
      <c r="G62" s="6" t="s">
        <v>106</v>
      </c>
      <c r="H62" s="3"/>
      <c r="I62" s="3"/>
      <c r="J62" s="3"/>
      <c r="K62" s="36"/>
      <c r="L62" s="6" t="s">
        <v>112</v>
      </c>
      <c r="M62" s="15">
        <f>L59-O59</f>
        <v>51969033.54</v>
      </c>
      <c r="N62" s="3"/>
      <c r="O62" s="6" t="s">
        <v>113</v>
      </c>
      <c r="P62" s="5">
        <v>2.5E7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50" t="s">
        <v>114</v>
      </c>
      <c r="B63" s="52">
        <f>(S55*0.3-G59)/G59</f>
        <v>0.169550601</v>
      </c>
      <c r="C63" s="52">
        <f>B63/4</f>
        <v>0.04238765024</v>
      </c>
      <c r="D63" s="6">
        <v>4.0</v>
      </c>
      <c r="E63" s="6" t="s">
        <v>50</v>
      </c>
      <c r="F63" s="55">
        <v>-1.0808</v>
      </c>
      <c r="G63" s="55">
        <v>-1.0808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50" t="s">
        <v>115</v>
      </c>
      <c r="B64" s="52">
        <f>(M62*0.3-G59)/G59</f>
        <v>0.5590710063</v>
      </c>
      <c r="C64" s="52">
        <f>B64/5</f>
        <v>0.1118142013</v>
      </c>
      <c r="D64" s="6">
        <v>5.0</v>
      </c>
      <c r="E64" s="6" t="s">
        <v>65</v>
      </c>
      <c r="F64" s="55">
        <v>-0.7314</v>
      </c>
      <c r="G64" s="55">
        <v>-0.3657</v>
      </c>
      <c r="H64" s="3"/>
      <c r="I64" s="3"/>
      <c r="J64" s="3"/>
      <c r="K64" s="7" t="s">
        <v>116</v>
      </c>
      <c r="L64" s="56">
        <f>0.3*P62</f>
        <v>7500000</v>
      </c>
      <c r="M64" s="3"/>
      <c r="N64" s="6" t="s">
        <v>117</v>
      </c>
      <c r="O64" s="15">
        <f>P62*0.3 +(P45-P62)</f>
        <v>10064495.48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6" t="s">
        <v>66</v>
      </c>
      <c r="F65" s="55">
        <v>-0.2528</v>
      </c>
      <c r="G65" s="55">
        <v>-0.0843</v>
      </c>
      <c r="H65" s="3"/>
      <c r="I65" s="3"/>
      <c r="J65" s="3"/>
      <c r="K65" s="7" t="s">
        <v>118</v>
      </c>
      <c r="L65" s="57">
        <v>1.170381901E7</v>
      </c>
      <c r="M65" s="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6" t="s">
        <v>119</v>
      </c>
      <c r="B66" s="3"/>
      <c r="C66" s="3"/>
      <c r="D66" s="3"/>
      <c r="E66" s="6" t="s">
        <v>120</v>
      </c>
      <c r="F66" s="55">
        <v>0.1851</v>
      </c>
      <c r="G66" s="55">
        <v>0.0443</v>
      </c>
      <c r="H66" s="3"/>
      <c r="I66" s="3"/>
      <c r="J66" s="3"/>
      <c r="K66" s="3"/>
      <c r="L66" s="15">
        <f>L65/20</f>
        <v>585190.9505</v>
      </c>
      <c r="M66" s="6" t="s">
        <v>121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50" t="s">
        <v>122</v>
      </c>
      <c r="B67" s="52">
        <f>((M62)*0.7-P62*0.6)/(P62*0.6)</f>
        <v>1.425221565</v>
      </c>
      <c r="C67" s="52">
        <f>B67/5</f>
        <v>0.2850443131</v>
      </c>
      <c r="D67" s="3"/>
      <c r="E67" s="6" t="s">
        <v>123</v>
      </c>
      <c r="F67" s="55">
        <v>0.5783</v>
      </c>
      <c r="G67" s="55">
        <v>0.1157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58" t="s">
        <v>124</v>
      </c>
      <c r="I92" s="59">
        <v>5.009118136E9</v>
      </c>
      <c r="J92" s="3"/>
      <c r="K92" s="6" t="s">
        <v>125</v>
      </c>
      <c r="L92" s="6">
        <v>400000.0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60" t="s">
        <v>126</v>
      </c>
      <c r="I93" s="61">
        <v>2.0E8</v>
      </c>
      <c r="J93" s="3"/>
      <c r="K93" s="6" t="s">
        <v>126</v>
      </c>
      <c r="L93" s="6">
        <v>18500.0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6" t="s">
        <v>127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62"/>
      <c r="B111" s="16" t="s">
        <v>128</v>
      </c>
      <c r="C111" s="16" t="s">
        <v>129</v>
      </c>
      <c r="D111" s="16" t="s">
        <v>130</v>
      </c>
      <c r="E111" s="16" t="s">
        <v>131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16" t="s">
        <v>126</v>
      </c>
      <c r="B112" s="16">
        <v>60.0</v>
      </c>
      <c r="C112" s="16">
        <v>35.0</v>
      </c>
      <c r="D112" s="16">
        <v>40.0</v>
      </c>
      <c r="E112" s="16">
        <v>34.0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16" t="s">
        <v>132</v>
      </c>
      <c r="B113" s="16">
        <v>25.0</v>
      </c>
      <c r="C113" s="16">
        <v>45.0</v>
      </c>
      <c r="D113" s="16">
        <v>25.0</v>
      </c>
      <c r="E113" s="16">
        <v>33.0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16" t="s">
        <v>133</v>
      </c>
      <c r="B114" s="16">
        <v>15.0</v>
      </c>
      <c r="C114" s="16">
        <v>20.0</v>
      </c>
      <c r="D114" s="16">
        <v>35.0</v>
      </c>
      <c r="E114" s="16">
        <v>33.0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6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</sheetData>
  <conditionalFormatting sqref="A111:E114">
    <cfRule type="notContainsBlanks" dxfId="0" priority="1">
      <formula>LEN(TRIM(A111))&gt;0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1.14"/>
    <col customWidth="1" min="2" max="2" width="43.86"/>
  </cols>
  <sheetData>
    <row r="1">
      <c r="A1" s="63" t="s">
        <v>134</v>
      </c>
      <c r="B1" s="28" t="s">
        <v>135</v>
      </c>
    </row>
    <row r="2">
      <c r="A2" s="64" t="s">
        <v>136</v>
      </c>
      <c r="B2" s="6" t="s">
        <v>137</v>
      </c>
    </row>
    <row r="3">
      <c r="A3" s="65" t="s">
        <v>138</v>
      </c>
      <c r="B3" s="6" t="s">
        <v>139</v>
      </c>
    </row>
    <row r="4">
      <c r="A4" s="64" t="s">
        <v>140</v>
      </c>
      <c r="B4" s="6" t="s">
        <v>141</v>
      </c>
    </row>
    <row r="5">
      <c r="A5" s="64" t="s">
        <v>142</v>
      </c>
      <c r="B5" s="6" t="s">
        <v>143</v>
      </c>
    </row>
    <row r="6">
      <c r="A6" s="64" t="s">
        <v>144</v>
      </c>
      <c r="B6" s="6" t="s">
        <v>143</v>
      </c>
    </row>
    <row r="7">
      <c r="A7" s="64" t="s">
        <v>145</v>
      </c>
      <c r="B7" s="6" t="s">
        <v>146</v>
      </c>
    </row>
    <row r="8">
      <c r="A8" s="64" t="s">
        <v>147</v>
      </c>
      <c r="B8" s="6" t="s">
        <v>146</v>
      </c>
    </row>
    <row r="9">
      <c r="A9" s="64" t="s">
        <v>148</v>
      </c>
      <c r="B9" s="6" t="s">
        <v>149</v>
      </c>
    </row>
    <row r="10">
      <c r="A10" s="64" t="s">
        <v>150</v>
      </c>
      <c r="B10" s="3"/>
    </row>
    <row r="11">
      <c r="A11" s="64" t="s">
        <v>151</v>
      </c>
      <c r="B11" s="6" t="s">
        <v>152</v>
      </c>
    </row>
    <row r="12">
      <c r="A12" s="64" t="s">
        <v>153</v>
      </c>
      <c r="B12" s="6" t="s">
        <v>154</v>
      </c>
    </row>
    <row r="13">
      <c r="A13" s="64" t="s">
        <v>155</v>
      </c>
      <c r="B13" s="6" t="s">
        <v>156</v>
      </c>
    </row>
    <row r="14">
      <c r="A14" s="64" t="s">
        <v>157</v>
      </c>
      <c r="B14" s="6" t="s">
        <v>158</v>
      </c>
    </row>
    <row r="15">
      <c r="A15" s="64" t="s">
        <v>159</v>
      </c>
      <c r="B15" s="6" t="s">
        <v>160</v>
      </c>
    </row>
    <row r="16">
      <c r="A16" s="64" t="s">
        <v>161</v>
      </c>
      <c r="B16" s="6" t="s">
        <v>162</v>
      </c>
    </row>
    <row r="17">
      <c r="A17" s="64" t="s">
        <v>163</v>
      </c>
      <c r="B17" s="3"/>
    </row>
  </sheetData>
  <hyperlinks>
    <hyperlink r:id="rId1" ref="A2"/>
    <hyperlink r:id="rId2" ref="A3"/>
    <hyperlink r:id="rId3" location=".Xo9B58gzZPY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