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i/Documents/GitHub/freddie-mac/doc-reader/data/zoning code match count/"/>
    </mc:Choice>
  </mc:AlternateContent>
  <xr:revisionPtr revIDLastSave="0" documentId="13_ncr:1_{2EA08E3D-C990-3C48-8B3F-8418722E741A}" xr6:coauthVersionLast="47" xr6:coauthVersionMax="47" xr10:uidLastSave="{00000000-0000-0000-0000-000000000000}"/>
  <bookViews>
    <workbookView xWindow="4020" yWindow="3460" windowWidth="27440" windowHeight="16440" xr2:uid="{544BC5F3-E72D-1749-94A7-38DCEE0B7A9D}"/>
  </bookViews>
  <sheets>
    <sheet name="Comparison" sheetId="3" r:id="rId1"/>
    <sheet name="Joey" sheetId="1" r:id="rId2"/>
    <sheet name="Xiny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3" l="1"/>
  <c r="K62" i="3"/>
  <c r="L60" i="3"/>
  <c r="J60" i="3"/>
  <c r="L59" i="3"/>
  <c r="J59" i="3"/>
  <c r="K57" i="3"/>
  <c r="I57" i="3"/>
  <c r="L57" i="3"/>
  <c r="J57" i="3"/>
  <c r="L56" i="3"/>
  <c r="J56" i="3"/>
  <c r="K56" i="3"/>
  <c r="I56" i="3"/>
  <c r="L51" i="3"/>
  <c r="K51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J46" i="3"/>
  <c r="I46" i="3"/>
  <c r="L45" i="3"/>
  <c r="K45" i="3"/>
  <c r="J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7" i="3"/>
  <c r="L30" i="3"/>
  <c r="K30" i="3"/>
  <c r="I30" i="3"/>
  <c r="L29" i="3"/>
  <c r="K29" i="3"/>
  <c r="I29" i="3"/>
  <c r="L28" i="3"/>
  <c r="K28" i="3"/>
  <c r="I28" i="3"/>
  <c r="L23" i="3"/>
  <c r="K23" i="3"/>
  <c r="L20" i="3"/>
  <c r="K20" i="3"/>
  <c r="I20" i="3"/>
  <c r="L18" i="3"/>
  <c r="K18" i="3"/>
  <c r="I18" i="3"/>
  <c r="L19" i="3"/>
  <c r="L17" i="3"/>
  <c r="K17" i="3"/>
  <c r="I17" i="3"/>
  <c r="L16" i="3"/>
  <c r="K16" i="3"/>
  <c r="I16" i="3"/>
  <c r="L15" i="3"/>
  <c r="K15" i="3"/>
  <c r="I15" i="3"/>
  <c r="L12" i="3"/>
  <c r="K12" i="3"/>
  <c r="I12" i="3"/>
  <c r="L11" i="3"/>
  <c r="K11" i="3"/>
  <c r="I11" i="3"/>
  <c r="L10" i="3"/>
  <c r="K10" i="3"/>
  <c r="I10" i="3"/>
  <c r="L9" i="3"/>
  <c r="L8" i="3"/>
  <c r="K8" i="3"/>
  <c r="I8" i="3"/>
  <c r="L6" i="3"/>
  <c r="K6" i="3"/>
  <c r="I6" i="3"/>
  <c r="L5" i="3"/>
  <c r="K5" i="3"/>
  <c r="I5" i="3"/>
  <c r="L4" i="3"/>
  <c r="K4" i="3"/>
  <c r="I4" i="3"/>
  <c r="I3" i="3"/>
  <c r="K3" i="3"/>
  <c r="L3" i="3"/>
  <c r="I2" i="3"/>
  <c r="L2" i="3"/>
  <c r="K2" i="3"/>
  <c r="G3" i="3"/>
  <c r="J3" i="3" s="1"/>
  <c r="G4" i="3"/>
  <c r="J4" i="3" s="1"/>
  <c r="G5" i="3"/>
  <c r="J5" i="3" s="1"/>
  <c r="G6" i="3"/>
  <c r="J6" i="3" s="1"/>
  <c r="G7" i="3"/>
  <c r="G8" i="3"/>
  <c r="J8" i="3" s="1"/>
  <c r="G9" i="3"/>
  <c r="J9" i="3" s="1"/>
  <c r="G10" i="3"/>
  <c r="J10" i="3" s="1"/>
  <c r="G11" i="3"/>
  <c r="J11" i="3" s="1"/>
  <c r="G12" i="3"/>
  <c r="J12" i="3" s="1"/>
  <c r="G13" i="3"/>
  <c r="G14" i="3"/>
  <c r="G15" i="3"/>
  <c r="J15" i="3" s="1"/>
  <c r="G16" i="3"/>
  <c r="J16" i="3" s="1"/>
  <c r="G17" i="3"/>
  <c r="J17" i="3" s="1"/>
  <c r="G18" i="3"/>
  <c r="J18" i="3" s="1"/>
  <c r="G19" i="3"/>
  <c r="J19" i="3" s="1"/>
  <c r="G20" i="3"/>
  <c r="J20" i="3" s="1"/>
  <c r="G21" i="3"/>
  <c r="G22" i="3"/>
  <c r="G23" i="3"/>
  <c r="J23" i="3" s="1"/>
  <c r="G24" i="3"/>
  <c r="G25" i="3"/>
  <c r="G26" i="3"/>
  <c r="G27" i="3"/>
  <c r="G28" i="3"/>
  <c r="J28" i="3" s="1"/>
  <c r="G29" i="3"/>
  <c r="J29" i="3" s="1"/>
  <c r="G30" i="3"/>
  <c r="J30" i="3" s="1"/>
  <c r="G31" i="3"/>
  <c r="G32" i="3"/>
  <c r="G33" i="3"/>
  <c r="G34" i="3"/>
  <c r="G35" i="3"/>
  <c r="G36" i="3"/>
  <c r="G37" i="3"/>
  <c r="J37" i="3" s="1"/>
  <c r="G38" i="3"/>
  <c r="G39" i="3"/>
  <c r="J39" i="3" s="1"/>
  <c r="G40" i="3"/>
  <c r="J40" i="3" s="1"/>
  <c r="G41" i="3"/>
  <c r="J41" i="3" s="1"/>
  <c r="G42" i="3"/>
  <c r="J42" i="3" s="1"/>
  <c r="G43" i="3"/>
  <c r="J43" i="3" s="1"/>
  <c r="G44" i="3"/>
  <c r="J44" i="3" s="1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2" i="3"/>
  <c r="J2" i="3" s="1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23" i="3" l="1"/>
</calcChain>
</file>

<file path=xl/sharedStrings.xml><?xml version="1.0" encoding="utf-8"?>
<sst xmlns="http://schemas.openxmlformats.org/spreadsheetml/2006/main" count="1136" uniqueCount="410">
  <si>
    <t>idx</t>
  </si>
  <si>
    <t>state</t>
  </si>
  <si>
    <t>county</t>
  </si>
  <si>
    <t>muni</t>
  </si>
  <si>
    <t>unique_matches</t>
  </si>
  <si>
    <t>unique_counts</t>
  </si>
  <si>
    <t>all_counts</t>
  </si>
  <si>
    <t>muncipalcode</t>
  </si>
  <si>
    <t>source</t>
  </si>
  <si>
    <t>California</t>
  </si>
  <si>
    <t>Contra Costa County</t>
  </si>
  <si>
    <t>DANVILLE</t>
  </si>
  <si>
    <t>['A-2', 'R-B', 'HRC', 'R-10', 'R-7', 'R-40', 'US', 'L-I', 'R-65', 'P-1', 'A-1', 'PUD', 'AH', '32', 'R-6', 'R-20', 'R-15', 'R-100', 'R-12', 'OR', 'FAR', 'O-1', 'R-75', 'CC', 'IV', 'D-1', 'G-1', '36', 'PARK', '35']</t>
  </si>
  <si>
    <t>https://codelibrary.amlegal.com/codes/danvilleca/latest/overview</t>
  </si>
  <si>
    <t>codelibrary</t>
  </si>
  <si>
    <t>Los Angeles County</t>
  </si>
  <si>
    <t>TEMPLE CITY</t>
  </si>
  <si>
    <t>['PC', 'OS', 'RL', 'RV', 'R-2', 'OR', 'IL', 'FAR', 'RM', 'ABC', 'MU', 'R-1', 'RH']</t>
  </si>
  <si>
    <t>https://codelibrary.amlegal.com/codes/templecityca/latest/overview</t>
  </si>
  <si>
    <t>Florida</t>
  </si>
  <si>
    <t>Broward County</t>
  </si>
  <si>
    <t>COOPER CITY</t>
  </si>
  <si>
    <t>['A-2', 'R-4', 'PP', 'PRD', 'P-1', 'R-3', 'PCD', 'A-1', 'R-1-C', 'PUD', 'TH-1', '32', 'CP', 'E-1', 'B-2', 'E-3', 'NO', 'B-1', 'R-2', 'B-3', 'OP', 'C-2', 'FAR', 'C-1', '34', 'CC', 'LM', 'IV', 'E-2', 'I-1', 'CO', 'CS', '36', '35']</t>
  </si>
  <si>
    <t>https://codelibrary.amlegal.com/codes/coopercity/latest/overview</t>
  </si>
  <si>
    <t>Idaho</t>
  </si>
  <si>
    <t>Canyon County</t>
  </si>
  <si>
    <t>MIDDLETON</t>
  </si>
  <si>
    <t>['R-3', 'A-R', 'M-1', 'M-2', 'RV', 'R-2', 'C-2', 'C-1', 'TOD', 'R-1', 'C-3']</t>
  </si>
  <si>
    <t>https://codelibrary.amlegal.com/codes/middletonid/latest/overview</t>
  </si>
  <si>
    <t>Illinois</t>
  </si>
  <si>
    <t>Cook County</t>
  </si>
  <si>
    <t>WESTERN SPRINGS</t>
  </si>
  <si>
    <t>['R2', 'C2', 'R4', 'R1', 'R3', 'MXD', 'RB', 'R5', 'C1', 'DT']</t>
  </si>
  <si>
    <t>https://codelibrary.amlegal.com/codes/westernspringsil/latest/overview</t>
  </si>
  <si>
    <t>DuPage County</t>
  </si>
  <si>
    <t>BARTLETT</t>
  </si>
  <si>
    <t>['PUD']</t>
  </si>
  <si>
    <t>https://codelibrary.amlegal.com/codes/bartlettil/latest/overview</t>
  </si>
  <si>
    <t>HINSDALE</t>
  </si>
  <si>
    <t>['D1', 'R-4', 'D4', 'R-3', 'C2', '32', 'OS', 'R-6', 'B-2', 'B3', 'O-2', 'B-1', 'R-2', 'B-3', 'OR', 'FAR', 'D2', 'C3', 'D3', 'O-1', 'B2', '34', 'IV', 'C1', 'B1', 'DR', 'R-1', 'O-3', '36', '35', 'HS', 'R-5']</t>
  </si>
  <si>
    <t>https://codelibrary.amlegal.com/codes/hinsdaleil/latest/overview</t>
  </si>
  <si>
    <t>Grundy County</t>
  </si>
  <si>
    <t>MINOOKA</t>
  </si>
  <si>
    <t>[]</t>
  </si>
  <si>
    <t>https://codelibrary.amlegal.com/codes/minookail/latest/overview</t>
  </si>
  <si>
    <t>Lake County</t>
  </si>
  <si>
    <t>LINDENHURST</t>
  </si>
  <si>
    <t>['R-4', 'PP', 'PUD-1', 'CB', 'RO', 'R-3', 'IN', 'PUD', '32', 'TV', 'RV', 'NO', 'OSR', 'R-2', 'OR', 'AT', 'IL', 'CAR', 'SE', 'NB', 'D-1', 'R-1', 'PARK', '35']</t>
  </si>
  <si>
    <t>https://codelibrary.amlegal.com/codes/lindenhurstil/latest/overview</t>
  </si>
  <si>
    <t>Will County</t>
  </si>
  <si>
    <t>MANHATTAN</t>
  </si>
  <si>
    <t>['R-4', 'PP', 'CR', 'R-3', 'A-1', 'I-3', 'R-6', 'R-2', 'ER', 'C-2', 'CBD', 'C-1', 'I-1', 'R-1', 'I-2', 'BP', 'C-3', 'R-5']</t>
  </si>
  <si>
    <t>https://codelibrary.amlegal.com/codes/manhattanil/latest/overview</t>
  </si>
  <si>
    <t>WINNETKA</t>
  </si>
  <si>
    <t>['R-4', 'R-3', 'B-2', 'B-1', 'R-2', 'C-2', 'C-1', 'R-1', 'R-5']</t>
  </si>
  <si>
    <t>https://codelibrary.amlegal.com/codes/winnetka/latest/overview</t>
  </si>
  <si>
    <t>WINFIELD</t>
  </si>
  <si>
    <t>['OR', 'CAR']</t>
  </si>
  <si>
    <t>https://codelibrary.amlegal.com/codes/winfieldil/latest/overview</t>
  </si>
  <si>
    <t>Jersey County</t>
  </si>
  <si>
    <t>JERSEYVILLE</t>
  </si>
  <si>
    <t>['NO']</t>
  </si>
  <si>
    <t>https://codelibrary.amlegal.com/codes/jerseyvilleil/latest/overview</t>
  </si>
  <si>
    <t>LAKE ZURICH</t>
  </si>
  <si>
    <t>['D1', 'R-1/2', 'R-6', 'D2', 'D3', 'DR']</t>
  </si>
  <si>
    <t>https://codelibrary.amlegal.com/codes/lakezurichil/latest/overview</t>
  </si>
  <si>
    <t>WINTHROP HARBOR</t>
  </si>
  <si>
    <t>['R-4', 'R-3', 'IN', 'PUD', 'OS', 'R-6', 'BB', 'B-2', 'B-1', 'R-2', 'B-3', 'OR', 'B-5', 'CBD', 'B-4', 'I-1', 'R-1', 'SO', '36', 'I-2', 'DT', '35', 'R-5']</t>
  </si>
  <si>
    <t>https://codelibrary.amlegal.com/codes/winthropharbor/latest/overview</t>
  </si>
  <si>
    <t>Sangamon County</t>
  </si>
  <si>
    <t>CHATHAM</t>
  </si>
  <si>
    <t>['R1A', 'P-1', 'R-3', 'IN', 'PUD', '32', 'TV', 'B-2', 'R-3A', 'B-1', 'R-2', 'OR', 'CAR', '34', 'R-1A', 'RM-4', 'I-1', 'R-1', '38', '36', 'I-2', 'PARK', '35']</t>
  </si>
  <si>
    <t>https://codelibrary.amlegal.com/codes/chatham/latest/overview</t>
  </si>
  <si>
    <t>LOCKPORT</t>
  </si>
  <si>
    <t>['C-4', 'R-4', 'R2', 'R-3', 'IN', 'A-1', 'C2', 'M-1', 'M-2', 'R4', 'RV', 'R1', 'R3', 'O-2', 'R-2', 'OR', 'C-2', 'C3', 'CMU', 'CAR', 'O-1', 'C-1', '34', 'R-O', 'IV', 'C1', 'R-1', '36', 'FSC', 'PARK', '35', 'C-3', 'E-R']</t>
  </si>
  <si>
    <t>https://codelibrary.amlegal.com/codes/lockport/latest/overview</t>
  </si>
  <si>
    <t>MOKENA</t>
  </si>
  <si>
    <t>https://codelibrary.amlegal.com/codes/mokenail/latest/overview</t>
  </si>
  <si>
    <t>ROMEOVILLE</t>
  </si>
  <si>
    <t>['R-7', 'R-4', 'BR', 'PP', 'P-1', 'PVC', 'R-3', 'A-1', 'PUD', '32', 'TV', 'R-6', 'BB', 'M-1', 'M-2', 'B-2', 'B-1', 'R-2', 'B-3', 'OR', 'R-5A', 'FAR', 'B-4', '34', 'CC', 'ABC', 'IV', 'R-1', '38', '36', 'PB', 'PARK', '35', 'M-R', 'E-R', 'R-5']</t>
  </si>
  <si>
    <t>https://codelibrary.amlegal.com/codes/romeoville/latest/overview</t>
  </si>
  <si>
    <t>Indiana</t>
  </si>
  <si>
    <t>Allen County</t>
  </si>
  <si>
    <t>HUNTERTOWN</t>
  </si>
  <si>
    <t>https://codelibrary.amlegal.com/codes/huntertown/latest/overview</t>
  </si>
  <si>
    <t>CEDAR LAKE</t>
  </si>
  <si>
    <t>https://codelibrary.amlegal.com/codes/cedarlakein/latest/overview</t>
  </si>
  <si>
    <t>DYER</t>
  </si>
  <si>
    <t>['R-4', 'R-3', 'PUD', 'B-2', 'B-1', 'R-2', 'B-3', 'R-1', 'RD']</t>
  </si>
  <si>
    <t>https://codelibrary.amlegal.com/codes/dyer/latest/overview</t>
  </si>
  <si>
    <t>Kentucky</t>
  </si>
  <si>
    <t>Bullitt County</t>
  </si>
  <si>
    <t>MOUNT WASHINGTON</t>
  </si>
  <si>
    <t>['R-4', 'R-3', 'B-2', 'B-1', 'R-2', 'R-1']</t>
  </si>
  <si>
    <t>https://codelibrary.amlegal.com/codes/mtwashington/latest/overview</t>
  </si>
  <si>
    <t>Campbell County</t>
  </si>
  <si>
    <t>ALEXANDRIA</t>
  </si>
  <si>
    <t>['IV']</t>
  </si>
  <si>
    <t>https://codelibrary.amlegal.com/codes/alexandria/latest/overview</t>
  </si>
  <si>
    <t>Kenton County</t>
  </si>
  <si>
    <t>EDGEWOOD</t>
  </si>
  <si>
    <t>https://codelibrary.amlegal.com/codes/edgewood/latest/overview</t>
  </si>
  <si>
    <t>VILLA HILLS</t>
  </si>
  <si>
    <t>https://codelibrary.amlegal.com/codes/villahills/latest/overview</t>
  </si>
  <si>
    <t>Michigan</t>
  </si>
  <si>
    <t>Kent County</t>
  </si>
  <si>
    <t>EAST GRAND RAPIDS</t>
  </si>
  <si>
    <t>['R-3', 'IN', 'PUD', 'R-2', 'OR', 'SF', 'MFR', 'O-P', 'C-1', 'IV', 'R-1', '36', '35', 'PSC']</t>
  </si>
  <si>
    <t>https://codelibrary.amlegal.com/codes/eastgrandrapidsmi/latest/overview</t>
  </si>
  <si>
    <t>Wayne County</t>
  </si>
  <si>
    <t>GARDEN CITY</t>
  </si>
  <si>
    <t>['PRD', 'R-3', 'IN', 'PD', '32', 'TV', 'M-1', 'PR', 'R-2', 'OR', 'C-2', 'CBD', 'C3', 'CMU', 'CAR', 'O-1', 'C-1', 'LP', 'R-1', '36', 'PARK', 'PM', '35', 'C-3', 'HS']</t>
  </si>
  <si>
    <t>https://codelibrary.amlegal.com/codes/gardencity/latest/overview</t>
  </si>
  <si>
    <t>Minnesota</t>
  </si>
  <si>
    <t>Dakota County</t>
  </si>
  <si>
    <t>FARMINGTON</t>
  </si>
  <si>
    <t>['A-1', 'PUD', 'P/OS']</t>
  </si>
  <si>
    <t>https://codelibrary.amlegal.com/codes/farmingtonmn/latest/overview</t>
  </si>
  <si>
    <t>Missouri</t>
  </si>
  <si>
    <t>St. Charles County</t>
  </si>
  <si>
    <t>COTTLEVILLE</t>
  </si>
  <si>
    <t>https://ecode360.com/CO3275</t>
  </si>
  <si>
    <t>ecode360</t>
  </si>
  <si>
    <t>O'FALLON</t>
  </si>
  <si>
    <t>https://ecode360.com/OF3382</t>
  </si>
  <si>
    <t>ST. PETERS</t>
  </si>
  <si>
    <t>https://ecode360.com/ST3438</t>
  </si>
  <si>
    <t>New Jersey</t>
  </si>
  <si>
    <t>Atlantic County</t>
  </si>
  <si>
    <t>NORTHFIELD</t>
  </si>
  <si>
    <t>https://ecode360.com/NO0505</t>
  </si>
  <si>
    <t>New York</t>
  </si>
  <si>
    <t>Monroe County</t>
  </si>
  <si>
    <t>PITTSFORD</t>
  </si>
  <si>
    <t>https://ecode360.com/PI1657</t>
  </si>
  <si>
    <t>Ohio</t>
  </si>
  <si>
    <t>Cuyahoga County</t>
  </si>
  <si>
    <t>BROOK PARK</t>
  </si>
  <si>
    <t>['A-2', 'H-1', 'IN', 'A-1', 'A-6', 'LDR', '32', 'OR', 'FAR', 'A-5', '34', 'IV', '38', '36', '35']</t>
  </si>
  <si>
    <t>https://codelibrary.amlegal.com/codes/brookpark/latest/overview</t>
  </si>
  <si>
    <t>HIGHLAND HEIGHTS</t>
  </si>
  <si>
    <t>https://codelibrary.amlegal.com/codes/highlandhts/latest/overview</t>
  </si>
  <si>
    <t>SOLON</t>
  </si>
  <si>
    <t>https://codelibrary.amlegal.com/codes/solon/latest/overview</t>
  </si>
  <si>
    <t>Hamilton County</t>
  </si>
  <si>
    <t>SPRINGFIELD</t>
  </si>
  <si>
    <t>['RR-1', 'PD', 'M-1', 'M-2', 'CO-1']</t>
  </si>
  <si>
    <t>https://codelibrary.amlegal.com/codes/springfield/latest/overview</t>
  </si>
  <si>
    <t>MENTOR</t>
  </si>
  <si>
    <t>['R-1']</t>
  </si>
  <si>
    <t>https://codelibrary.amlegal.com/codes/mentor/latest/overview</t>
  </si>
  <si>
    <t>WICKLIFFE</t>
  </si>
  <si>
    <t>['OS', 'OB']</t>
  </si>
  <si>
    <t>https://codelibrary.amlegal.com/codes/wickliffe/latest/overview</t>
  </si>
  <si>
    <t>Lorain County</t>
  </si>
  <si>
    <t>AMHERST</t>
  </si>
  <si>
    <t>['R-3', 'R-2', 'C-2', 'C-1', 'I-1', 'R-1', 'C-3']</t>
  </si>
  <si>
    <t>https://codelibrary.amlegal.com/codes/amherst/latest/overview</t>
  </si>
  <si>
    <t>NORTH RIDGEVILLE</t>
  </si>
  <si>
    <t>['R-4', 'R-3', 'PCD', 'I-3', 'B-2', 'B-1', 'R-2', 'B-3', 'B-5', 'B-4', 'I-1', 'R-1', 'I-2', 'R-5']</t>
  </si>
  <si>
    <t>https://codelibrary.amlegal.com/codes/northridgeville/latest/overview</t>
  </si>
  <si>
    <t>Butler County</t>
  </si>
  <si>
    <t>FAIRFIELD</t>
  </si>
  <si>
    <t>['C-4', 'R-4', 'R-3', 'A-1', 'C-3A', 'M-1', 'M-2', 'B-1', 'R-2', 'C-2', 'C-1', 'C-2B', 'C-2A', 'R-1', 'M-1A', 'C-3']</t>
  </si>
  <si>
    <t>https://codelibrary.amlegal.com/codes/fairfield/latest/overview</t>
  </si>
  <si>
    <t>SOUTH EUCLID</t>
  </si>
  <si>
    <t>['R-40', 'M-1', 'M-2', 'R-50', 'C-2', 'R-75', 'C-1', 'R-O', 'R-60', 'C-3']</t>
  </si>
  <si>
    <t>https://codelibrary.amlegal.com/codes/southeuclid/latest/overview</t>
  </si>
  <si>
    <t>MONTGOMERY</t>
  </si>
  <si>
    <t>['R-7']</t>
  </si>
  <si>
    <t>https://codelibrary.amlegal.com/codes/montgomery/latest/overview</t>
  </si>
  <si>
    <t>WYOMING</t>
  </si>
  <si>
    <t>['C-2', 'C-1', 'C-3']</t>
  </si>
  <si>
    <t>https://codelibrary.amlegal.com/codes/wyoming/latest/overview</t>
  </si>
  <si>
    <t>AVON</t>
  </si>
  <si>
    <t>['C-4', 'R-3', 'M-1', 'M-2', 'O-2', 'R-2', 'C-2', 'O-1', 'C-1', 'R-1', 'C-3']</t>
  </si>
  <si>
    <t>https://codelibrary.amlegal.com/codes/avonoh/latest/overview</t>
  </si>
  <si>
    <t>Mahoning County</t>
  </si>
  <si>
    <t>STRUTHERS</t>
  </si>
  <si>
    <t>['C-1']</t>
  </si>
  <si>
    <t>https://codelibrary.amlegal.com/codes/struthers/latest/overview</t>
  </si>
  <si>
    <t>SEVEN HILLS</t>
  </si>
  <si>
    <t>https://codelibrary.amlegal.com/codes/sevenhills/latest/overview</t>
  </si>
  <si>
    <t>Summit County</t>
  </si>
  <si>
    <t>MACEDONIA</t>
  </si>
  <si>
    <t>['R-P', 'B-2', 'B-1', 'B-3', 'B-4']</t>
  </si>
  <si>
    <t>https://codelibrary.amlegal.com/codes/macedonia/latest/overview</t>
  </si>
  <si>
    <t>Delaware County</t>
  </si>
  <si>
    <t>GENOA</t>
  </si>
  <si>
    <t>https://codelibrary.amlegal.com/codes/genoa/latest/overview</t>
  </si>
  <si>
    <t>Stark County</t>
  </si>
  <si>
    <t>PERRY</t>
  </si>
  <si>
    <t>https://codelibrary.amlegal.com/codes/perryoh/latest/overview</t>
  </si>
  <si>
    <t>Pennsylvania</t>
  </si>
  <si>
    <t>Westmoreland County</t>
  </si>
  <si>
    <t>MONESSEN</t>
  </si>
  <si>
    <t>https://ecode360.com/MO1700</t>
  </si>
  <si>
    <t>Rhode Island</t>
  </si>
  <si>
    <t>Bristol County</t>
  </si>
  <si>
    <t>BARRINGTON</t>
  </si>
  <si>
    <t>https://ecode360.com/BA1328</t>
  </si>
  <si>
    <t>South Carolina</t>
  </si>
  <si>
    <t>Charleston County</t>
  </si>
  <si>
    <t>JAMES ISLAND</t>
  </si>
  <si>
    <t>['MHP', 'SC', 'DB', 'CR', 'IN', 'CBR', 'PD', '32', 'TV', 'RV', 'NO', 'OR', 'CA', 'RM', 'CAR', '34', 'CC', 'RR-3', 'CS', '36', 'PARK', '35', 'HS']</t>
  </si>
  <si>
    <t>https://codelibrary.amlegal.com/codes/jamesisland/latest/overview</t>
  </si>
  <si>
    <t>Tennessee</t>
  </si>
  <si>
    <t>Shelby County</t>
  </si>
  <si>
    <t>COLLIERVILLE</t>
  </si>
  <si>
    <t>['R-4', 'H-1', 'R-25', 'US', 'R-L', 'PC', 'CB', 'GC', 'R-3', 'IN', 'PD', 'AH', '32', 'RL', 'TV', 'BB', 'RV', 'SR', 'CM', 'R-3A', 'NC', 'R-2', 'OR', 'IL', 'FAR', 'CA', 'GI', 'CC', 'R-1A', 'IV', 'R-2A', 'SCC', 'MU', 'CO', 'R-1', '36', 'PARK', '35']</t>
  </si>
  <si>
    <t>https://codelibrary.amlegal.com/codes/collierville/latest/overview</t>
  </si>
  <si>
    <t>Utah</t>
  </si>
  <si>
    <t>Davis County</t>
  </si>
  <si>
    <t>https://codelibrary.amlegal.com/codes/farmingtonut/latest/overview</t>
  </si>
  <si>
    <t>SOUTH WEBER</t>
  </si>
  <si>
    <t>https://codelibrary.amlegal.com/codes/southweberut/latest/overview</t>
  </si>
  <si>
    <t>Salt Lake County</t>
  </si>
  <si>
    <t>HERRIMAN</t>
  </si>
  <si>
    <t>['IN']</t>
  </si>
  <si>
    <t>https://codelibrary.amlegal.com/codes/herrimanut/latest/overview</t>
  </si>
  <si>
    <t>Utah County</t>
  </si>
  <si>
    <t>CEDAR HILLS</t>
  </si>
  <si>
    <t>['IN', 'B3']</t>
  </si>
  <si>
    <t>https://codelibrary.amlegal.com/codes/cedarhillsut/latest/overview</t>
  </si>
  <si>
    <t>Washington County</t>
  </si>
  <si>
    <t>SANTA CLARA</t>
  </si>
  <si>
    <t>['OS']</t>
  </si>
  <si>
    <t>https://codelibrary.amlegal.com/codes/santaclaraut/latest/overview</t>
  </si>
  <si>
    <t>['C1', 'C2', 'DT', 'MXD', 'R1', 'R2', 'R3', 'R4', 'R5', 'RB']</t>
  </si>
  <si>
    <t>['BA', 'CB', 'IN', 'NB', 'OSR', 'PP', 'PUD', 'R-1', 'R-2', 'R-3', 'R-4', 'RO', 'RV', 'SE', 'TV']</t>
  </si>
  <si>
    <t>['B-1', 'B-2', 'C-1', 'C-2', 'R-1', 'R-2', 'R-3', 'R-4', 'R-5']</t>
  </si>
  <si>
    <t>['A-1', 'A-2', 'A-5', 'A-6', 'BA', 'FAR', 'H-1', 'IN', 'IV', 'LDR', 'OR']</t>
  </si>
  <si>
    <t>['CO-1', 'M-1', 'M-2', 'PD', 'RR-1']</t>
  </si>
  <si>
    <t>['B-1', 'B-2', 'B-3', 'C-1', 'C-2', 'M-1', 'M-2', 'PD', 'PUD', 'R-1', 'R-10', 'R-2', 'R-3', 'R-4', 'R-5']</t>
  </si>
  <si>
    <t>['C-1', 'C-2', 'C-3', 'I-1', 'M-1', 'R-1', 'R-2', 'R-3']</t>
  </si>
  <si>
    <t>['B-1', 'B-2', 'B-3', 'B-4', 'B-5', 'I-1', 'I-2', 'I-3', 'PCD', 'R-1', 'R-2', 'R-3', 'R-4', 'R-5']</t>
  </si>
  <si>
    <t>['OC', 'R-7']</t>
  </si>
  <si>
    <t>['C-1', 'C-2', 'C-3']</t>
  </si>
  <si>
    <t>['C-1', 'C-2', 'C-3', 'C-4', 'M-1', 'M-2', 'O-1', 'O-2', 'R-1', 'R-2', 'R-3']</t>
  </si>
  <si>
    <t>['CA', 'CAR', 'CC', 'CS', 'DB', 'IN', 'OR', 'PARK', 'PD', 'RV']</t>
  </si>
  <si>
    <t>['HD', 'OS', 'R-1-10', 'RA']</t>
  </si>
  <si>
    <t>unique_matches_Joey</t>
    <phoneticPr fontId="2" type="noConversion"/>
  </si>
  <si>
    <t>unique_matches_Xinyi</t>
    <phoneticPr fontId="2" type="noConversion"/>
  </si>
  <si>
    <t>match_num_Joey</t>
    <phoneticPr fontId="2" type="noConversion"/>
  </si>
  <si>
    <t>['A-2', 'R-B', 'HRC', 'R-10', 'R-7', 'R-40', 'US', 'L-I', 'R-65', 'P-1', 'A-1', 'PUD', 'AH', '32', 'R-6', 'R-20', 'R-15', 'R-100', 'R-12', 'OR', 'FAR', 'O-1', 'R-75', 'CC', 'IV', 'D-1', 'G-1', '36', 'PARK', '35']</t>
    <phoneticPr fontId="2" type="noConversion"/>
  </si>
  <si>
    <t>match_num_Xinyi</t>
    <phoneticPr fontId="2" type="noConversion"/>
  </si>
  <si>
    <t>zoning_code</t>
    <phoneticPr fontId="2" type="noConversion"/>
  </si>
  <si>
    <t>DANVILLE</t>
    <phoneticPr fontId="2" type="noConversion"/>
  </si>
  <si>
    <t>List of Zoning Districts</t>
    <phoneticPr fontId="2" type="noConversion"/>
  </si>
  <si>
    <t>https://codelibrary.amlegal.com/codes/danvilleca/latest/danville_ca/0-0-0-7662</t>
    <phoneticPr fontId="2" type="noConversion"/>
  </si>
  <si>
    <t>R-6, R-7, R-10, R-12, R-15, R-20, R-40, R-65, R-100, D-1, M-30, M-25, M-20, M-13, M-8, A-1, A-2, A-4, O-1, G-1, R-B, C, L-I, P-1</t>
    <phoneticPr fontId="2" type="noConversion"/>
  </si>
  <si>
    <t>True Positive_Joey</t>
    <phoneticPr fontId="2" type="noConversion"/>
  </si>
  <si>
    <t>True Positive_Xinyi</t>
    <phoneticPr fontId="2" type="noConversion"/>
  </si>
  <si>
    <t>TEMPLE CITY</t>
    <phoneticPr fontId="2" type="noConversion"/>
  </si>
  <si>
    <t>https://codelibrary.amlegal.com/codes/templecityca/latest/templecity_ca/0-0-0-34264#JD_9-1B-1</t>
    <phoneticPr fontId="2" type="noConversion"/>
  </si>
  <si>
    <t>['A-1', 'A-2', 'CC', 'D-1', 'FAR', 'G-1', 'IV', 'L-I', 'O-1', 'OR', 'P-1', 'PARK', 'PUD', 'R-10', 'R-100', 'R-12', 'R-15', 'R-20', 'R-40', 'R-6', 'R-65', 'R-7', 'R-75', 'R-B']</t>
  </si>
  <si>
    <t>['ABC', 'CC', 'FAR', 'IL', 'MU', 'NC', 'OR', 'OS', 'PARK', 'PC', 'PD', 'R-1', 'R-2', 'R-3', 'RH', 'RL', 'RM', 'RV']</t>
  </si>
  <si>
    <t>['A-1', 'A-2', 'B-1', 'B-2', 'B-3', 'B1', 'B2', 'B3', 'C-1', 'C-2', 'C1', 'C2', 'CC', 'CP', 'CS', 'E-1', 'E-2', 'E-3', 'FAR', 'I-1', 'IV', 'LM', 'OP', 'P-1', 'P1', 'PCD', 'PP', 'PRD', 'PUD', 'R-1-C', 'R-2', 'R-3', 'R-4', 'R1A', 'R2', 'R3', 'R4', 'TH-1']</t>
  </si>
  <si>
    <t>['A-R', 'C-1', 'C-2', 'C-3', 'M-1', 'M-2', 'R-1', 'R-2', 'R-3', 'RV', 'TOD']</t>
  </si>
  <si>
    <t>['B-1', 'B-2', 'B-3', 'B1', 'B2', 'DR', 'HS', 'IV', 'O-1', 'O-2', 'O-3', 'OS', 'P2', 'P4', 'PB', 'PC', 'PD', 'PP', 'R-1', 'R-2', 'R-3', 'R-4', 'R-5', 'R-6', 'SB', 'SC', 'SE']</t>
  </si>
  <si>
    <t>['B1', 'B2', 'R1', 'R1A', 'R2', 'R3', 'R4', 'R5', 'R6']</t>
  </si>
  <si>
    <t>['A-1', 'BP', 'C-1', 'C-2', 'C-3', 'CBD', 'CR', 'ER', 'I-1', 'I-2', 'I-3', 'PP', 'R-1', 'R-2', 'R-3', 'R-4', 'R-5', 'R-6']</t>
  </si>
  <si>
    <t>['CAR', 'OR']</t>
  </si>
  <si>
    <t>['B-1', 'B-2', 'B-3', 'D1', 'D2', 'D3', 'DR', 'LP', 'O-1', 'O-2', 'O-3', 'OS', 'R-1/2', 'R-3', 'R-4', 'R-5', 'R-6']</t>
  </si>
  <si>
    <t>['B-1', 'B-2', 'B-3', 'B-4', 'B-5', 'BB', 'DT', 'I-1', 'I-2', 'IN', 'OR', 'PR', 'PUD', 'R-1', 'R-2', 'R-3', 'R-4', 'R-5', 'R-6']</t>
  </si>
  <si>
    <t>['B-1', 'B-2', 'CAR', 'I-1', 'I-2', 'IN', 'OR', 'P-1', 'PARK', 'PUD', 'R-1', 'R-1A', 'R-2', 'R-3', 'R-3A', 'R1A', 'RM-4', 'TV']</t>
  </si>
  <si>
    <t>['A-1', 'BA', 'C-1', 'C-2', 'C-3', 'C-4', 'C1', 'C2', 'C3', 'CAR', 'CMU', 'D-1', 'E-R', 'FSC', 'IN', 'IV', 'M-1', 'M-2', 'O-1', 'O-2', 'OR', 'PARK', 'R-1', 'R-2', 'R-3', 'R-4', 'R-O', 'R1', 'R2', 'R3', 'R4', 'RV']</t>
  </si>
  <si>
    <t>['A-1', 'C-1', 'C-1A', 'C-2', 'C-3', 'C-4', 'C1', 'C3', 'E-1', 'I-1', 'I-2', 'I-3', 'O-1', 'O-2', 'OR-1', 'P-1', 'R-1', 'R-2', 'R-3', 'R-4', 'R-5', 'R-6', 'TOD']</t>
  </si>
  <si>
    <t>['A-1', 'ABC', 'B-1', 'B-2', 'B-3', 'B-4', 'BR', 'E-R', 'FAR', 'IV', 'M-1', 'M-2', 'M-R', 'OR', 'P-1', 'PARK', 'PP', 'PUD', 'PVC', 'R-1', 'R-2', 'R-3', 'R-4', 'R-5', 'R-5A', 'R-6', 'R-7']</t>
  </si>
  <si>
    <t>['B-1', 'B-2', 'B-3', 'PUD', 'R-1', 'R-2', 'R-3', 'R-4', 'RD']</t>
  </si>
  <si>
    <t>['C-1', 'IV', 'MFR', 'O-P', 'OR', 'PA', 'PP', 'PSC', 'PUD', 'R-1', 'R-2', 'R-3', 'SF']</t>
  </si>
  <si>
    <t>['C-1', 'C-2', 'C-3', 'CAR', 'CBD', 'IN', 'M-1', 'O-1', 'OR', 'PA', 'PARK', 'PD', 'PM', 'PR', 'R-1', 'R-2', 'R-3', 'TV']</t>
  </si>
  <si>
    <t>['A-1', 'B-1', 'B-2', 'B-3', 'P/OS', 'PUD', 'R-1', 'R-2', 'R-3', 'R-4']</t>
  </si>
  <si>
    <t>['G-B', 'O-B']</t>
  </si>
  <si>
    <t>['OB', 'OS']</t>
  </si>
  <si>
    <t>['A-1', 'B-1', 'C-1', 'C-2', 'C-2A', 'C-2B', 'C-3', 'C-3A', 'C-4', 'D-1', 'M-1', 'M-1A', 'M-2', 'R-1', 'R-2', 'R-3', 'R-4', 'SE', 'ST']</t>
  </si>
  <si>
    <t>['C-1', 'C-2', 'C-3', 'M-1', 'M-2', 'R-40', 'R-50', 'R-60', 'R-75', 'R-O']</t>
  </si>
  <si>
    <t>['B-1', 'B-2', 'B-3', 'B-4', 'R-P']</t>
  </si>
  <si>
    <t>['AH', 'CA', 'CB', 'CC', 'CM', 'CO', 'FAR', 'GC', 'GI', 'H-1', 'IL', 'IN', 'MU', 'NC', 'OR', 'PARK', 'PC', 'PD', 'R-1', 'R-1A', 'R-2', 'R-25', 'R-2A', 'R-3', 'R-3A', 'R-4', 'R-L', 'R-T', 'RL', 'RV', 'SCC', 'SR', 'TV', 'US']</t>
  </si>
  <si>
    <t>['B-C', 'C-H', 'C-R', 'L-I', 'PUD', 'R-7', 'R-L', 'R-LM', 'R-M', 'R-P', 'T-1']</t>
  </si>
  <si>
    <t>['A-1', 'C-1', 'C-2', 'EC', 'IN', 'M-1', 'MU', 'MU-2', 'OP', 'PD', 'R-1-10', 'R-1-15', 'R-M', 'RC', 'VMU']</t>
  </si>
  <si>
    <t>['B3', 'IN', 'PR']</t>
  </si>
  <si>
    <t>Precise_Joey</t>
    <phoneticPr fontId="2" type="noConversion"/>
  </si>
  <si>
    <t>Precise_Xinyi</t>
    <phoneticPr fontId="2" type="noConversion"/>
  </si>
  <si>
    <t>R-1, R-2, R-3, NC,DC,LTC, MU-L, MU-M, I, I/OS, PD</t>
    <phoneticPr fontId="2" type="noConversion"/>
  </si>
  <si>
    <t>COOPER CITY</t>
    <phoneticPr fontId="2" type="noConversion"/>
  </si>
  <si>
    <t>https://codelibrary.amlegal.com/codes/coopercity/latest/coppercity_fl/0-0-0-7400</t>
  </si>
  <si>
    <t>A-1, E-3, E-2, E-1, R-1-A, R-1-B, R-1-C, R-1-D, TH-1, R-2, R-3, R-4, OP, B-1, B-2, B-3, C-1, I-1, P-1, X-1, U-1, PRD, PMUD, PCD, PID, SRL, CS</t>
    <phoneticPr fontId="2" type="noConversion"/>
  </si>
  <si>
    <t>MIDDLETON</t>
    <phoneticPr fontId="2" type="noConversion"/>
  </si>
  <si>
    <t>https://codelibrary.amlegal.com/codes/middletonid/latest/middleton_id/0-0-0-1716#JD_5-1-4</t>
    <phoneticPr fontId="2" type="noConversion"/>
  </si>
  <si>
    <t>A-R, C-1, C-2, C-3, M-1, M-2, R-1, R-2, R-3, RRR, TOD, M-F, M-U</t>
    <phoneticPr fontId="2" type="noConversion"/>
  </si>
  <si>
    <t>WESTERN SPRINGS</t>
    <phoneticPr fontId="2" type="noConversion"/>
  </si>
  <si>
    <t>https://codelibrary.amlegal.com/codes/westernspringsil/latest/westernsprings_il/0-0-0-8827</t>
  </si>
  <si>
    <t>A, R1, R2, R3, R4, RB, SFA, R5, C1, C2, O, ORI, DT, MXD, MGL</t>
    <phoneticPr fontId="2" type="noConversion"/>
  </si>
  <si>
    <t>BARTLETT</t>
    <phoneticPr fontId="2" type="noConversion"/>
  </si>
  <si>
    <t>https://codelibrary.amlegal.com/codes/bartlettil/latest/bartlett_il/0-0-0-9499#JD_10-4-1</t>
  </si>
  <si>
    <t>ER-1, ER-2, ER-3, SR-2, SR-3, SR-4, SR-5, SR-6, MH-1, OR, B-1, B-2, B-3, B-4, I-1, I-2, P-1, W-B, PD, DT-O</t>
    <phoneticPr fontId="2" type="noConversion"/>
  </si>
  <si>
    <t>HINSDALE</t>
    <phoneticPr fontId="2" type="noConversion"/>
  </si>
  <si>
    <t>https://codelibrary.amlegal.com/codes/hinsdaleil/latest/hinsdale_il_zoning/0-0-0-39</t>
  </si>
  <si>
    <t>R-1, R-2, R-3, R-4, R-5, R-6, B-1, B-2, B-3, O-1, O-2, O-3, HS, OS, IB, DR</t>
    <phoneticPr fontId="2" type="noConversion"/>
  </si>
  <si>
    <t>MINOOKA</t>
    <phoneticPr fontId="2" type="noConversion"/>
  </si>
  <si>
    <t>https://codelibrary.amlegal.com/codes/minookail/latest/minooka_il/0-0-0-5147</t>
  </si>
  <si>
    <t>A, R1, R1A, R2, R3, R4, R4A, R5, R6, B1, B2, M1, M2</t>
    <phoneticPr fontId="2" type="noConversion"/>
  </si>
  <si>
    <t>LINDENHURST</t>
    <phoneticPr fontId="2" type="noConversion"/>
  </si>
  <si>
    <t>E, SE, S, R-1, R-2, R-3, R-4, NB, CB, CBR-2, PBC, O, BK, M, I, RO, Planned Unit Development Districts</t>
    <phoneticPr fontId="2" type="noConversion"/>
  </si>
  <si>
    <t>MANHATTAN</t>
    <phoneticPr fontId="2" type="noConversion"/>
  </si>
  <si>
    <t>A-1, CR, ER, GR, R-1, R-2, R-3, R-4, R-5, R-6, C-1, C-2, C-3, CBD, BP, DD, I-1, I-2, I-3</t>
    <phoneticPr fontId="2" type="noConversion"/>
  </si>
  <si>
    <t>WINNETKA</t>
    <phoneticPr fontId="2" type="noConversion"/>
  </si>
  <si>
    <t>https://codelibrary.amlegal.com/codes/winnetka/latest/winnetka_il/0-0-0-26184#JD_Chapter17.08</t>
  </si>
  <si>
    <t>https://codelibrary.amlegal.com/codes/manhattanil/latest/manhattan_il/0-0-0-2889</t>
  </si>
  <si>
    <t>R-5, R-4, R-3, R-2, R-1, B-1, B-2, C-1, C-2, D</t>
    <phoneticPr fontId="2" type="noConversion"/>
  </si>
  <si>
    <t>LAKE ZURICH</t>
    <phoneticPr fontId="2" type="noConversion"/>
  </si>
  <si>
    <t>https://codelibrary.amlegal.com/codes/lakezurichil/latest/lakezurich_il/0-0-0-14105</t>
  </si>
  <si>
    <t>R-1/2, R-3, R-4, R-5, R-6, B-1, B-2, B-3, O-1, O-2, O-3, I, OS, IB, LP, DR</t>
    <phoneticPr fontId="2" type="noConversion"/>
  </si>
  <si>
    <t>WINTHROP HARBOR</t>
    <phoneticPr fontId="2" type="noConversion"/>
  </si>
  <si>
    <t>https://codelibrary.amlegal.com/codes/winthropharbor/latest/winthropharbor_il/0-0-0-40225</t>
  </si>
  <si>
    <t>R-1, R-2, R-3, R-4, R-5, B-1, B1-M, B-2, B-3, B-4, B-5, I-1, I-2</t>
    <phoneticPr fontId="2" type="noConversion"/>
  </si>
  <si>
    <t>CHATHAM</t>
    <phoneticPr fontId="2" type="noConversion"/>
  </si>
  <si>
    <t>https://codelibrary.amlegal.com/codes/chatham/latest/chatham_il/0-0-0-6880</t>
  </si>
  <si>
    <t>R-1, R1A, R-2, R-3, R-3A, RM-4, RO-5, B-1, B-2, I-1, I-2, PUD</t>
    <phoneticPr fontId="2" type="noConversion"/>
  </si>
  <si>
    <t>MOKENA</t>
    <phoneticPr fontId="2" type="noConversion"/>
  </si>
  <si>
    <t>https://codelibrary.amlegal.com/codes/mokenail/latest/mokena_il/0-0-0-6536</t>
  </si>
  <si>
    <t>E-1, R-1, R-2, R-3, R-4, R-5, R-6, C-1, C-1A, C-2, C-3, C-4, O-1, O-2, I-1, I-2, I-3, A-1, P-1, OR-1, TOD</t>
    <phoneticPr fontId="2" type="noConversion"/>
  </si>
  <si>
    <t>WINFIELD</t>
    <phoneticPr fontId="2" type="noConversion"/>
  </si>
  <si>
    <t>https://codelibrary.amlegal.com/codes/winfieldil/latest/winfield_il/0-0-0-7209</t>
  </si>
  <si>
    <t>ER-1, ER-2, ER-3, R-1, R-1A, R-1B, R-2, R-3, R-4A, R-4B, R-5, R-6, R-7, SC-PD, TC, B-1, B-2, B-2A, RW-PD, P-1, L-1, PUD</t>
    <phoneticPr fontId="2" type="noConversion"/>
  </si>
  <si>
    <t>JERSEYVILLE</t>
    <phoneticPr fontId="2" type="noConversion"/>
  </si>
  <si>
    <t>https://codelibrary.amlegal.com/codes/jerseyvilleil/latest/jerseyville_il/0-0-0-3842#JD_11-4-1</t>
  </si>
  <si>
    <t>R-1, R-2, R-3, R-4, R-5, R-6, R-7, B-1, B-2, B-3, M-1, M-2, M-3</t>
    <phoneticPr fontId="2" type="noConversion"/>
  </si>
  <si>
    <t>LOCKPORT</t>
    <phoneticPr fontId="2" type="noConversion"/>
  </si>
  <si>
    <t>https://codelibrary.amlegal.com/codes/lockport/latest/lockport_il/0-0-0-83483</t>
  </si>
  <si>
    <t>A-1, E-R, R-O, R-1, R-2, R-3, R-4, C-1, C-2, C-2T, C-3, C-4, O-1, O-2, M-1, M-2</t>
    <phoneticPr fontId="2" type="noConversion"/>
  </si>
  <si>
    <t>ROMEOVILLE</t>
    <phoneticPr fontId="2" type="noConversion"/>
  </si>
  <si>
    <t>https://codelibrary.amlegal.com/codes/romeoville/latest/romeoville_il/0-0-0-17963</t>
  </si>
  <si>
    <t>A-1, E-R, R-1, R-2, R-3, R-4, R-5, R-5A, R-6, R-7, B-1, B-2, B-3, B-4, P-1, P-B, DD, M-R, M-1, M-2, AD-1, AD-2, U-D, FP-1</t>
    <phoneticPr fontId="2" type="noConversion"/>
  </si>
  <si>
    <t>DYER</t>
    <phoneticPr fontId="2" type="noConversion"/>
  </si>
  <si>
    <t>https://codelibrary.amlegal.com/codes/dyer/latest/dyer_in/0-0-0-8285</t>
  </si>
  <si>
    <t>RD, R-1, R-2, R-3, R-4, R-5M, B-1, B-2, B-3, I, R/B, PUD, SUD</t>
    <phoneticPr fontId="2" type="noConversion"/>
  </si>
  <si>
    <t>EAST GRAND RAPIDS</t>
    <phoneticPr fontId="2" type="noConversion"/>
  </si>
  <si>
    <t>R-1, R-2, R-3, MFR, C-1</t>
    <phoneticPr fontId="2" type="noConversion"/>
  </si>
  <si>
    <t>https://codelibrary.amlegal.com/codes/eastgrandrapidsmi/latest/eastgrandrapids_mi/0-0-0-3146</t>
  </si>
  <si>
    <t>GARDEN CITY</t>
    <phoneticPr fontId="2" type="noConversion"/>
  </si>
  <si>
    <t>R-1, R-2, R-3, O-1, C-1, C-2, C-3, CBD, M-1, PD, VP, PR</t>
    <phoneticPr fontId="2" type="noConversion"/>
  </si>
  <si>
    <t>FARMINGTON</t>
    <phoneticPr fontId="2" type="noConversion"/>
  </si>
  <si>
    <t>https://codelibrary.amlegal.com/codes/farmingtonmn/latest/farmington_mn/0-0-0-5596#JD_10-5-2</t>
  </si>
  <si>
    <t>A-1, R-1, R-2, R-3, R-4, R-D, B-1, B-2, B-3, SSMU, MUCI, MUCR, I, P/OS, PUD, DC-O, HW3-O, SS-O</t>
    <phoneticPr fontId="2" type="noConversion"/>
  </si>
  <si>
    <t>BROOK PARK</t>
    <phoneticPr fontId="2" type="noConversion"/>
  </si>
  <si>
    <t>https://codelibrary.amlegal.com/codes/brookpark/latest/brookpark_oh/0-0-0-40686</t>
  </si>
  <si>
    <t>NOTE: Different districts for use, height, and area</t>
    <phoneticPr fontId="2" type="noConversion"/>
  </si>
  <si>
    <t>HIGHLAND HEIGHTS</t>
    <phoneticPr fontId="2" type="noConversion"/>
  </si>
  <si>
    <t>https://codelibrary.amlegal.com/codes/highlandhts/latest/highlandhts_oh/0-0-0-17621#1121</t>
  </si>
  <si>
    <t>U-1, U-2, U-3, P, O-B, L-B, M-S, G-B, P-C-M</t>
    <phoneticPr fontId="2" type="noConversion"/>
  </si>
  <si>
    <t>SPRINGFIELD</t>
    <phoneticPr fontId="2" type="noConversion"/>
  </si>
  <si>
    <t>https://codelibrary.amlegal.com/codes/springfield/latest/springfield_oh/0-0-0-11623</t>
  </si>
  <si>
    <t>A, RR-1, RS-5, RS-8, RFBH, RM-12, RM-20, CN-2, RM-44, RM-44A, CO-1, CN-1, CC-2, EC-1, CB-10, CH-1, CI-1, RDP, M-1, M-2, G, OFP, OHP, OPD, CC-2A, UCOD, UCED, DMC, PD, EECPOD</t>
    <phoneticPr fontId="2" type="noConversion"/>
  </si>
  <si>
    <t>MENTOR</t>
    <phoneticPr fontId="2" type="noConversion"/>
  </si>
  <si>
    <t>https://codelibrary.amlegal.com/codes/mentor/latest/mentor_oh/0-0-0-18059</t>
  </si>
  <si>
    <t>R-1, R-2, R-3, R-4, R-5, R-10, RMH, C-1, C-2, OV, B-1, B-2, B-3, PUD, M-1, M-2, MRD, MIP</t>
    <phoneticPr fontId="2" type="noConversion"/>
  </si>
  <si>
    <t>WICKLIFFE</t>
    <phoneticPr fontId="2" type="noConversion"/>
  </si>
  <si>
    <t>https://codelibrary.amlegal.com/codes/wickliffe/latest/wickliffe_oh/0-0-0-23303</t>
  </si>
  <si>
    <t>OS, INS, R1-100, R1-75, R1-60, R1-50, R2F, RMF, S/A, OB, GB, TC, CM, I</t>
    <phoneticPr fontId="2" type="noConversion"/>
  </si>
  <si>
    <t>AMHERST</t>
    <phoneticPr fontId="2" type="noConversion"/>
  </si>
  <si>
    <t>https://codelibrary.amlegal.com/codes/amherst/latest/amherst_oh/0-0-0-13431#JD_PartEleven-PlanningandZoningCode-TitleFive</t>
  </si>
  <si>
    <t>R-1, PD, R-2, R-3, C-1, C-2, C-3, I-1, M-1</t>
    <phoneticPr fontId="2" type="noConversion"/>
  </si>
  <si>
    <t>NORTH RIDGEVILLE</t>
    <phoneticPr fontId="2" type="noConversion"/>
  </si>
  <si>
    <t>R-1, R-2, R-3, R-4, R-5, RS-1, RS-2, B-1, B-2, B-3, B-4, B-5, I-1, I-2, I-3, PCD, SDD</t>
    <phoneticPr fontId="2" type="noConversion"/>
  </si>
  <si>
    <t>FAIRFIELD</t>
    <phoneticPr fontId="2" type="noConversion"/>
  </si>
  <si>
    <t>https://codelibrary.amlegal.com/codes/fairfield/latest/fairfield_oh/0-0-0-11495</t>
  </si>
  <si>
    <t>A-1, R-0, R-1, R-2, R-3, R-4, B-1, C-4, C-1, C-2, C-2A, C-2B, C-3, C-3A, M-1, M-1A, M-2, M-2A</t>
    <phoneticPr fontId="2" type="noConversion"/>
  </si>
  <si>
    <t>color</t>
    <phoneticPr fontId="2" type="noConversion"/>
  </si>
  <si>
    <t>Green</t>
    <phoneticPr fontId="2" type="noConversion"/>
  </si>
  <si>
    <t>Orange</t>
    <phoneticPr fontId="2" type="noConversion"/>
  </si>
  <si>
    <t>Red</t>
    <phoneticPr fontId="2" type="noConversion"/>
  </si>
  <si>
    <t>Yellow</t>
    <phoneticPr fontId="2" type="noConversion"/>
  </si>
  <si>
    <t>SOUTH EUCLID</t>
    <phoneticPr fontId="2" type="noConversion"/>
  </si>
  <si>
    <t>https://codelibrary.amlegal.com/codes/southeuclid/latest/seuclid_oh/0-0-0-10364</t>
  </si>
  <si>
    <t>R-75, R-60, R-50, R-40, M-F, R-O, C-1, C-2, C-3, M-1, M-2</t>
    <phoneticPr fontId="2" type="noConversion"/>
  </si>
  <si>
    <t>MONTGOMERY</t>
    <phoneticPr fontId="2" type="noConversion"/>
  </si>
  <si>
    <t>https://codelibrary.amlegal.com/codes/montgomery/latest/montgom_oh/0-0-0-37923#JD_Chapter151.01</t>
  </si>
  <si>
    <t>A, B, C, D-2, D-3, O, OC, L-B, G-B, OM, OMG, H-O</t>
    <phoneticPr fontId="2" type="noConversion"/>
  </si>
  <si>
    <t>WYOMING</t>
    <phoneticPr fontId="2" type="noConversion"/>
  </si>
  <si>
    <t>https://codelibrary.amlegal.com/codes/wyoming/latest/wyoming_oh/0-0-0-20416#JD_1145</t>
  </si>
  <si>
    <t>AAAA, AAA, AA, A, B, C-1, C-2, C-3, E</t>
    <phoneticPr fontId="2" type="noConversion"/>
  </si>
  <si>
    <t>AVON</t>
    <phoneticPr fontId="2" type="noConversion"/>
  </si>
  <si>
    <t>https://codelibrary.amlegal.com/codes/avonoh/latest/avon_oh/0-0-0-46315</t>
  </si>
  <si>
    <t>R-1, R-2, R-3, C-1, C-2, C-3, C-4, O-1, O-2, M-1, M-2</t>
    <phoneticPr fontId="2" type="noConversion"/>
  </si>
  <si>
    <t>STRUTHERS</t>
    <phoneticPr fontId="2" type="noConversion"/>
  </si>
  <si>
    <t>https://codelibrary.amlegal.com/codes/struthers/latest/struthers_oh/0-0-0-12770</t>
  </si>
  <si>
    <t>Residence A, Residence B, Residence C, Residence C-1, Commercial A, Commercial B, Industrial A, Industrial B</t>
    <phoneticPr fontId="2" type="noConversion"/>
  </si>
  <si>
    <t>SEVEN HILLS</t>
    <phoneticPr fontId="2" type="noConversion"/>
  </si>
  <si>
    <t>https://codelibrary.amlegal.com/codes/sevenhills/latest/sevenhills_oh/0-0-0-17227</t>
  </si>
  <si>
    <t>NOTE: ALL TEXTS</t>
    <phoneticPr fontId="2" type="noConversion"/>
  </si>
  <si>
    <t>MACEDONIA</t>
    <phoneticPr fontId="2" type="noConversion"/>
  </si>
  <si>
    <t>https://codelibrary.amlegal.com/codes/macedonia/latest/macedonia_oh/0-0-0-14557</t>
  </si>
  <si>
    <t>R, B-1, B-2, B-3, B-4, I, R-P</t>
    <phoneticPr fontId="2" type="noConversion"/>
  </si>
  <si>
    <t>JAMES ISLAND</t>
    <phoneticPr fontId="2" type="noConversion"/>
  </si>
  <si>
    <t>https://codelibrary.amlegal.com/codes/jamesisland/latest/jamesisland_sc/0-0-0-3360#JD_153.065</t>
  </si>
  <si>
    <t>NRM-25, AG-5, AGR, RSL, RSM, MHS, OR, OG, CN, CC, I, PD</t>
    <phoneticPr fontId="2" type="noConversion"/>
  </si>
  <si>
    <t>COLLIERVILLE</t>
    <phoneticPr fontId="2" type="noConversion"/>
  </si>
  <si>
    <t>https://codelibrary.amlegal.com/codes/collierville/latest/collierv_tn/0-0-0-42717#JD_151.020</t>
  </si>
  <si>
    <t>R-1, R-1A, R-2, R-2A, R-3, R-3A, R-4, T, R-TH, RL, R-25, R-L1, FAR, NC, MPO, SCC, CB, GC, RI, GI</t>
    <phoneticPr fontId="2" type="noConversion"/>
  </si>
  <si>
    <t>SOUTH WEBER</t>
    <phoneticPr fontId="2" type="noConversion"/>
  </si>
  <si>
    <t>https://codelibrary.amlegal.com/codes/southweberut/latest/southweber_ut/0-0-0-3250</t>
  </si>
  <si>
    <t>R-M, R-LM, R-7, R-L, A, A-10, C, C-H, T-1, N-R, P-O,  L-I, C-R, C-O, B-C, R-P</t>
    <phoneticPr fontId="2" type="noConversion"/>
  </si>
  <si>
    <t>HERRIMAN</t>
    <phoneticPr fontId="2" type="noConversion"/>
  </si>
  <si>
    <t>A-.25, A-.5, A-1, R-1-10, R-1-15, R-1-21, R-1-43, R-2-10, R-2-15, R-M, FR-1, FR-2.5, FR-5, FR-10, FR-20, RC, C-1, C-2, OP, T-M, M-1, MU, MU-2, EC, H, PD, W, VMU, AMSD</t>
    <phoneticPr fontId="2" type="noConversion"/>
  </si>
  <si>
    <t>CEDAR HILLS</t>
    <phoneticPr fontId="2" type="noConversion"/>
  </si>
  <si>
    <t>R-1-11,000, R-1-15,000, PD-1, H-1, SC-1, RR-1-20,000, PR 2,2, PR 3.4, TR-1, PF</t>
    <phoneticPr fontId="2" type="noConversion"/>
  </si>
  <si>
    <t>SANTA CLARA</t>
    <phoneticPr fontId="2" type="noConversion"/>
  </si>
  <si>
    <t>OS, RA, R-1-10, R-1-10/RA, Commerical Zone, Planned development residential zone, Planned commercial development zone, Planned office and institutional development zone, Planned industrial development zone, Historic district/mixed use zone, HD, 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</si>
</sst>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9" fontId="0" fillId="0" borderId="0" xfId="1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9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library.amlegal.com/codes/middletonid/latest/middleton_id/0-0-0-1716" TargetMode="External"/><Relationship Id="rId2" Type="http://schemas.openxmlformats.org/officeDocument/2006/relationships/hyperlink" Target="https://codelibrary.amlegal.com/codes/templecityca/latest/templecity_ca/0-0-0-34264" TargetMode="External"/><Relationship Id="rId1" Type="http://schemas.openxmlformats.org/officeDocument/2006/relationships/hyperlink" Target="https://codelibrary.amlegal.com/codes/danvilleca/latest/danville_ca/0-0-0-76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70DE-6683-DC4C-8229-DE807960C88C}">
  <dimension ref="A1:Q62"/>
  <sheetViews>
    <sheetView tabSelected="1" workbookViewId="0">
      <pane xSplit="4" ySplit="1" topLeftCell="E51" activePane="bottomRight" state="frozen"/>
      <selection pane="topRight" activeCell="E1" sqref="E1"/>
      <selection pane="bottomLeft" activeCell="A2" sqref="A2"/>
      <selection pane="bottomRight" activeCell="E62" sqref="E62"/>
    </sheetView>
  </sheetViews>
  <sheetFormatPr baseColWidth="10" defaultRowHeight="16"/>
  <cols>
    <col min="3" max="3" width="24.33203125" customWidth="1"/>
    <col min="4" max="4" width="21.5" customWidth="1"/>
    <col min="5" max="5" width="21.5" style="7" customWidth="1"/>
    <col min="6" max="12" width="21.5" customWidth="1"/>
    <col min="13" max="13" width="181.83203125" customWidth="1"/>
    <col min="14" max="14" width="12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7" t="s">
        <v>369</v>
      </c>
      <c r="F1" t="s">
        <v>243</v>
      </c>
      <c r="G1" t="s">
        <v>245</v>
      </c>
      <c r="H1" t="s">
        <v>246</v>
      </c>
      <c r="I1" t="s">
        <v>282</v>
      </c>
      <c r="J1" t="s">
        <v>283</v>
      </c>
      <c r="K1" t="s">
        <v>251</v>
      </c>
      <c r="L1" t="s">
        <v>252</v>
      </c>
      <c r="M1" t="s">
        <v>241</v>
      </c>
      <c r="N1" t="s">
        <v>242</v>
      </c>
      <c r="O1" t="s">
        <v>7</v>
      </c>
      <c r="P1" t="s">
        <v>248</v>
      </c>
    </row>
    <row r="2" spans="1:16">
      <c r="A2">
        <v>3</v>
      </c>
      <c r="B2" t="s">
        <v>9</v>
      </c>
      <c r="C2" t="s">
        <v>10</v>
      </c>
      <c r="D2" s="5" t="s">
        <v>247</v>
      </c>
      <c r="E2" s="7" t="s">
        <v>370</v>
      </c>
      <c r="F2">
        <v>30</v>
      </c>
      <c r="G2">
        <f>VLOOKUP(A2,Xinyi!A$1:I$52,6,FALSE)</f>
        <v>24</v>
      </c>
      <c r="H2" t="s">
        <v>250</v>
      </c>
      <c r="I2" s="4">
        <f>17/F2</f>
        <v>0.56666666666666665</v>
      </c>
      <c r="J2" s="4">
        <f>17/G2</f>
        <v>0.70833333333333337</v>
      </c>
      <c r="K2" s="4">
        <f>17/24</f>
        <v>0.70833333333333337</v>
      </c>
      <c r="L2" s="4">
        <f>17/24</f>
        <v>0.70833333333333337</v>
      </c>
      <c r="M2" t="s">
        <v>12</v>
      </c>
      <c r="N2" t="str">
        <f>VLOOKUP(A2,Xinyi!A$1:I$52,5,FALSE)</f>
        <v>['A-1', 'A-2', 'CC', 'D-1', 'FAR', 'G-1', 'IV', 'L-I', 'O-1', 'OR', 'P-1', 'PARK', 'PUD', 'R-10', 'R-100', 'R-12', 'R-15', 'R-20', 'R-40', 'R-6', 'R-65', 'R-7', 'R-75', 'R-B']</v>
      </c>
      <c r="O2" t="s">
        <v>13</v>
      </c>
      <c r="P2" s="2" t="s">
        <v>249</v>
      </c>
    </row>
    <row r="3" spans="1:16">
      <c r="A3">
        <v>6</v>
      </c>
      <c r="B3" t="s">
        <v>9</v>
      </c>
      <c r="C3" t="s">
        <v>15</v>
      </c>
      <c r="D3" s="5" t="s">
        <v>253</v>
      </c>
      <c r="E3" s="7" t="s">
        <v>370</v>
      </c>
      <c r="F3">
        <v>13</v>
      </c>
      <c r="G3">
        <f>VLOOKUP(A3,Xinyi!A$1:I$52,6,FALSE)</f>
        <v>18</v>
      </c>
      <c r="H3" t="s">
        <v>284</v>
      </c>
      <c r="I3" s="4">
        <f>4/F3</f>
        <v>0.30769230769230771</v>
      </c>
      <c r="J3" s="3">
        <f>7/G3</f>
        <v>0.3888888888888889</v>
      </c>
      <c r="K3" s="4">
        <f>4/11</f>
        <v>0.36363636363636365</v>
      </c>
      <c r="L3" s="4">
        <f>7/11</f>
        <v>0.63636363636363635</v>
      </c>
      <c r="M3" t="s">
        <v>17</v>
      </c>
      <c r="N3" t="str">
        <f>VLOOKUP(A3,Xinyi!A$1:I$52,5,FALSE)</f>
        <v>['ABC', 'CC', 'FAR', 'IL', 'MU', 'NC', 'OR', 'OS', 'PARK', 'PC', 'PD', 'R-1', 'R-2', 'R-3', 'RH', 'RL', 'RM', 'RV']</v>
      </c>
      <c r="O3" t="s">
        <v>18</v>
      </c>
      <c r="P3" s="2" t="s">
        <v>254</v>
      </c>
    </row>
    <row r="4" spans="1:16">
      <c r="A4">
        <v>22</v>
      </c>
      <c r="B4" t="s">
        <v>19</v>
      </c>
      <c r="C4" t="s">
        <v>20</v>
      </c>
      <c r="D4" s="6" t="s">
        <v>285</v>
      </c>
      <c r="E4" s="7" t="s">
        <v>371</v>
      </c>
      <c r="F4">
        <v>34</v>
      </c>
      <c r="G4">
        <f>VLOOKUP(A4,Xinyi!A$1:I$52,6,FALSE)</f>
        <v>38</v>
      </c>
      <c r="H4" t="s">
        <v>287</v>
      </c>
      <c r="I4" s="3">
        <f>19/F4</f>
        <v>0.55882352941176472</v>
      </c>
      <c r="J4" s="3">
        <f>19/G4</f>
        <v>0.5</v>
      </c>
      <c r="K4" s="3">
        <f>19/27</f>
        <v>0.70370370370370372</v>
      </c>
      <c r="L4" s="3">
        <f>19/27</f>
        <v>0.70370370370370372</v>
      </c>
      <c r="M4" t="s">
        <v>22</v>
      </c>
      <c r="N4" t="str">
        <f>VLOOKUP(A4,Xinyi!A$1:I$52,5,FALSE)</f>
        <v>['A-1', 'A-2', 'B-1', 'B-2', 'B-3', 'B1', 'B2', 'B3', 'C-1', 'C-2', 'C1', 'C2', 'CC', 'CP', 'CS', 'E-1', 'E-2', 'E-3', 'FAR', 'I-1', 'IV', 'LM', 'OP', 'P-1', 'P1', 'PCD', 'PP', 'PRD', 'PUD', 'R-1-C', 'R-2', 'R-3', 'R-4', 'R1A', 'R2', 'R3', 'R4', 'TH-1']</v>
      </c>
      <c r="O4" t="s">
        <v>23</v>
      </c>
      <c r="P4" t="s">
        <v>286</v>
      </c>
    </row>
    <row r="5" spans="1:16">
      <c r="A5">
        <v>31</v>
      </c>
      <c r="B5" t="s">
        <v>24</v>
      </c>
      <c r="C5" t="s">
        <v>25</v>
      </c>
      <c r="D5" t="s">
        <v>288</v>
      </c>
      <c r="F5">
        <v>11</v>
      </c>
      <c r="G5">
        <f>VLOOKUP(A5,Xinyi!A$1:I$52,6,FALSE)</f>
        <v>11</v>
      </c>
      <c r="H5" t="s">
        <v>290</v>
      </c>
      <c r="I5" s="3">
        <f>10/F5</f>
        <v>0.90909090909090906</v>
      </c>
      <c r="J5" s="3">
        <f>10/G5</f>
        <v>0.90909090909090906</v>
      </c>
      <c r="K5" s="3">
        <f>10/13</f>
        <v>0.76923076923076927</v>
      </c>
      <c r="L5" s="3">
        <f>10/13</f>
        <v>0.76923076923076927</v>
      </c>
      <c r="M5" t="s">
        <v>27</v>
      </c>
      <c r="N5" t="str">
        <f>VLOOKUP(A5,Xinyi!A$1:I$52,5,FALSE)</f>
        <v>['A-R', 'C-1', 'C-2', 'C-3', 'M-1', 'M-2', 'R-1', 'R-2', 'R-3', 'RV', 'TOD']</v>
      </c>
      <c r="O5" t="s">
        <v>28</v>
      </c>
      <c r="P5" s="2" t="s">
        <v>289</v>
      </c>
    </row>
    <row r="6" spans="1:16">
      <c r="A6">
        <v>33</v>
      </c>
      <c r="B6" t="s">
        <v>29</v>
      </c>
      <c r="C6" t="s">
        <v>30</v>
      </c>
      <c r="D6" t="s">
        <v>291</v>
      </c>
      <c r="F6">
        <v>10</v>
      </c>
      <c r="G6">
        <f>VLOOKUP(A6,Xinyi!A$1:I$52,6,FALSE)</f>
        <v>10</v>
      </c>
      <c r="H6" t="s">
        <v>293</v>
      </c>
      <c r="I6" s="3">
        <f>10/F6</f>
        <v>1</v>
      </c>
      <c r="J6" s="3">
        <f>10/G6</f>
        <v>1</v>
      </c>
      <c r="K6" s="3">
        <f>10/15</f>
        <v>0.66666666666666663</v>
      </c>
      <c r="L6" s="3">
        <f>10/15</f>
        <v>0.66666666666666663</v>
      </c>
      <c r="M6" t="s">
        <v>32</v>
      </c>
      <c r="N6" t="str">
        <f>VLOOKUP(A6,Xinyi!A$1:I$52,5,FALSE)</f>
        <v>['C1', 'C2', 'DT', 'MXD', 'R1', 'R2', 'R3', 'R4', 'R5', 'RB']</v>
      </c>
      <c r="O6" t="s">
        <v>33</v>
      </c>
      <c r="P6" t="s">
        <v>292</v>
      </c>
    </row>
    <row r="7" spans="1:16">
      <c r="A7" s="8">
        <v>34</v>
      </c>
      <c r="B7" t="s">
        <v>29</v>
      </c>
      <c r="C7" t="s">
        <v>34</v>
      </c>
      <c r="D7" s="7" t="s">
        <v>294</v>
      </c>
      <c r="E7" s="7" t="s">
        <v>372</v>
      </c>
      <c r="F7">
        <v>1</v>
      </c>
      <c r="G7">
        <f>VLOOKUP(A7,Xinyi!A$1:I$52,6,FALSE)</f>
        <v>1</v>
      </c>
      <c r="H7" t="s">
        <v>296</v>
      </c>
      <c r="I7">
        <v>0</v>
      </c>
      <c r="J7">
        <v>0</v>
      </c>
      <c r="K7">
        <v>0</v>
      </c>
      <c r="L7">
        <v>0</v>
      </c>
      <c r="M7" t="s">
        <v>36</v>
      </c>
      <c r="N7" t="str">
        <f>VLOOKUP(A7,Xinyi!A$1:I$52,5,FALSE)</f>
        <v>['PUD']</v>
      </c>
      <c r="O7" t="s">
        <v>37</v>
      </c>
      <c r="P7" t="s">
        <v>295</v>
      </c>
    </row>
    <row r="8" spans="1:16">
      <c r="A8">
        <v>35</v>
      </c>
      <c r="B8" t="s">
        <v>29</v>
      </c>
      <c r="C8" t="s">
        <v>34</v>
      </c>
      <c r="D8" s="5" t="s">
        <v>297</v>
      </c>
      <c r="E8" s="7" t="s">
        <v>370</v>
      </c>
      <c r="F8">
        <v>32</v>
      </c>
      <c r="G8">
        <f>VLOOKUP(A8,Xinyi!A$1:I$52,6,FALSE)</f>
        <v>27</v>
      </c>
      <c r="H8" t="s">
        <v>299</v>
      </c>
      <c r="I8" s="3">
        <f>14/F8</f>
        <v>0.4375</v>
      </c>
      <c r="J8" s="3">
        <f>15/G8</f>
        <v>0.55555555555555558</v>
      </c>
      <c r="K8" s="3">
        <f>14/16</f>
        <v>0.875</v>
      </c>
      <c r="L8" s="3">
        <f>15/16</f>
        <v>0.9375</v>
      </c>
      <c r="M8" t="s">
        <v>39</v>
      </c>
      <c r="N8" t="str">
        <f>VLOOKUP(A8,Xinyi!A$1:I$52,5,FALSE)</f>
        <v>['B-1', 'B-2', 'B-3', 'B1', 'B2', 'DR', 'HS', 'IV', 'O-1', 'O-2', 'O-3', 'OS', 'P2', 'P4', 'PB', 'PC', 'PD', 'PP', 'R-1', 'R-2', 'R-3', 'R-4', 'R-5', 'R-6', 'SB', 'SC', 'SE']</v>
      </c>
      <c r="O8" t="s">
        <v>40</v>
      </c>
      <c r="P8" t="s">
        <v>298</v>
      </c>
    </row>
    <row r="9" spans="1:16">
      <c r="A9">
        <v>36</v>
      </c>
      <c r="B9" t="s">
        <v>29</v>
      </c>
      <c r="C9" t="s">
        <v>41</v>
      </c>
      <c r="D9" s="5" t="s">
        <v>300</v>
      </c>
      <c r="E9" s="7" t="s">
        <v>370</v>
      </c>
      <c r="F9">
        <v>0</v>
      </c>
      <c r="G9">
        <f>VLOOKUP(A9,Xinyi!A$1:I$52,6,FALSE)</f>
        <v>9</v>
      </c>
      <c r="H9" t="s">
        <v>302</v>
      </c>
      <c r="I9">
        <v>0</v>
      </c>
      <c r="J9" s="3">
        <f>9/G9</f>
        <v>1</v>
      </c>
      <c r="K9">
        <v>0</v>
      </c>
      <c r="L9" s="3">
        <f>9/13</f>
        <v>0.69230769230769229</v>
      </c>
      <c r="M9" t="s">
        <v>43</v>
      </c>
      <c r="N9" t="str">
        <f>VLOOKUP(A9,Xinyi!A$1:I$52,5,FALSE)</f>
        <v>['B1', 'B2', 'R1', 'R1A', 'R2', 'R3', 'R4', 'R5', 'R6']</v>
      </c>
      <c r="O9" t="s">
        <v>44</v>
      </c>
      <c r="P9" t="s">
        <v>301</v>
      </c>
    </row>
    <row r="10" spans="1:16">
      <c r="A10">
        <v>39</v>
      </c>
      <c r="B10" t="s">
        <v>29</v>
      </c>
      <c r="C10" t="s">
        <v>45</v>
      </c>
      <c r="D10" s="5" t="s">
        <v>303</v>
      </c>
      <c r="E10" s="7" t="s">
        <v>370</v>
      </c>
      <c r="F10">
        <v>24</v>
      </c>
      <c r="G10">
        <f>VLOOKUP(A10,Xinyi!A$1:I$52,6,FALSE)</f>
        <v>15</v>
      </c>
      <c r="H10" t="s">
        <v>304</v>
      </c>
      <c r="I10" s="3">
        <f>8/F10</f>
        <v>0.33333333333333331</v>
      </c>
      <c r="J10" s="3">
        <f>9/G10</f>
        <v>0.6</v>
      </c>
      <c r="K10" s="3">
        <f>8/17</f>
        <v>0.47058823529411764</v>
      </c>
      <c r="L10" s="3">
        <f>9/17</f>
        <v>0.52941176470588236</v>
      </c>
      <c r="M10" t="s">
        <v>47</v>
      </c>
      <c r="N10" t="str">
        <f>VLOOKUP(A10,Xinyi!A$1:I$52,5,FALSE)</f>
        <v>['BA', 'CB', 'IN', 'NB', 'OSR', 'PP', 'PUD', 'R-1', 'R-2', 'R-3', 'R-4', 'RO', 'RV', 'SE', 'TV']</v>
      </c>
      <c r="O10" t="s">
        <v>48</v>
      </c>
    </row>
    <row r="11" spans="1:16">
      <c r="A11">
        <v>41</v>
      </c>
      <c r="B11" t="s">
        <v>29</v>
      </c>
      <c r="C11" t="s">
        <v>49</v>
      </c>
      <c r="D11" t="s">
        <v>305</v>
      </c>
      <c r="F11">
        <v>18</v>
      </c>
      <c r="G11">
        <f>VLOOKUP(A11,Xinyi!A$1:I$52,6,FALSE)</f>
        <v>18</v>
      </c>
      <c r="H11" t="s">
        <v>306</v>
      </c>
      <c r="I11" s="3">
        <f>17/F11</f>
        <v>0.94444444444444442</v>
      </c>
      <c r="J11" s="3">
        <f>17/G11</f>
        <v>0.94444444444444442</v>
      </c>
      <c r="K11" s="3">
        <f>17/19</f>
        <v>0.89473684210526316</v>
      </c>
      <c r="L11" s="3">
        <f>17/19</f>
        <v>0.89473684210526316</v>
      </c>
      <c r="M11" t="s">
        <v>51</v>
      </c>
      <c r="N11" t="str">
        <f>VLOOKUP(A11,Xinyi!A$1:I$52,5,FALSE)</f>
        <v>['A-1', 'BP', 'C-1', 'C-2', 'C-3', 'CBD', 'CR', 'ER', 'I-1', 'I-2', 'I-3', 'PP', 'R-1', 'R-2', 'R-3', 'R-4', 'R-5', 'R-6']</v>
      </c>
      <c r="O11" t="s">
        <v>52</v>
      </c>
      <c r="P11" t="s">
        <v>309</v>
      </c>
    </row>
    <row r="12" spans="1:16">
      <c r="A12">
        <v>43</v>
      </c>
      <c r="B12" t="s">
        <v>29</v>
      </c>
      <c r="C12" t="s">
        <v>30</v>
      </c>
      <c r="D12" t="s">
        <v>307</v>
      </c>
      <c r="F12">
        <v>9</v>
      </c>
      <c r="G12">
        <f>VLOOKUP(A12,Xinyi!A$1:I$52,6,FALSE)</f>
        <v>9</v>
      </c>
      <c r="H12" t="s">
        <v>310</v>
      </c>
      <c r="I12" s="3">
        <f>9/F12</f>
        <v>1</v>
      </c>
      <c r="J12" s="3">
        <f>9/G12</f>
        <v>1</v>
      </c>
      <c r="K12" s="3">
        <f>9/10</f>
        <v>0.9</v>
      </c>
      <c r="L12" s="3">
        <f>9/10</f>
        <v>0.9</v>
      </c>
      <c r="M12" t="s">
        <v>54</v>
      </c>
      <c r="N12" t="str">
        <f>VLOOKUP(A12,Xinyi!A$1:I$52,5,FALSE)</f>
        <v>['B-1', 'B-2', 'C-1', 'C-2', 'R-1', 'R-2', 'R-3', 'R-4', 'R-5']</v>
      </c>
      <c r="O12" t="s">
        <v>55</v>
      </c>
      <c r="P12" t="s">
        <v>308</v>
      </c>
    </row>
    <row r="13" spans="1:16">
      <c r="A13" s="8">
        <v>45</v>
      </c>
      <c r="B13" t="s">
        <v>29</v>
      </c>
      <c r="C13" t="s">
        <v>34</v>
      </c>
      <c r="D13" t="s">
        <v>323</v>
      </c>
      <c r="E13" s="7" t="s">
        <v>372</v>
      </c>
      <c r="F13">
        <v>2</v>
      </c>
      <c r="G13">
        <f>VLOOKUP(A13,Xinyi!A$1:I$52,6,FALSE)</f>
        <v>2</v>
      </c>
      <c r="H13" t="s">
        <v>325</v>
      </c>
      <c r="I13">
        <v>0</v>
      </c>
      <c r="J13">
        <v>0</v>
      </c>
      <c r="K13">
        <v>0</v>
      </c>
      <c r="L13">
        <v>0</v>
      </c>
      <c r="M13" t="s">
        <v>57</v>
      </c>
      <c r="N13" t="str">
        <f>VLOOKUP(A13,Xinyi!A$1:I$52,5,FALSE)</f>
        <v>['CAR', 'OR']</v>
      </c>
      <c r="O13" t="s">
        <v>58</v>
      </c>
      <c r="P13" t="s">
        <v>324</v>
      </c>
    </row>
    <row r="14" spans="1:16">
      <c r="A14" s="8">
        <v>46</v>
      </c>
      <c r="B14" t="s">
        <v>29</v>
      </c>
      <c r="C14" t="s">
        <v>59</v>
      </c>
      <c r="D14" t="s">
        <v>326</v>
      </c>
      <c r="E14" s="7" t="s">
        <v>372</v>
      </c>
      <c r="F14">
        <v>1</v>
      </c>
      <c r="G14">
        <f>VLOOKUP(A14,Xinyi!A$1:I$52,6,FALSE)</f>
        <v>1</v>
      </c>
      <c r="H14" t="s">
        <v>328</v>
      </c>
      <c r="I14">
        <v>0</v>
      </c>
      <c r="J14">
        <v>0</v>
      </c>
      <c r="K14">
        <v>0</v>
      </c>
      <c r="L14">
        <v>0</v>
      </c>
      <c r="M14" t="s">
        <v>61</v>
      </c>
      <c r="N14" t="str">
        <f>VLOOKUP(A14,Xinyi!A$1:I$52,5,FALSE)</f>
        <v>['NO']</v>
      </c>
      <c r="O14" t="s">
        <v>62</v>
      </c>
      <c r="P14" t="s">
        <v>327</v>
      </c>
    </row>
    <row r="15" spans="1:16">
      <c r="A15">
        <v>47</v>
      </c>
      <c r="B15" t="s">
        <v>29</v>
      </c>
      <c r="C15" t="s">
        <v>45</v>
      </c>
      <c r="D15" s="5" t="s">
        <v>311</v>
      </c>
      <c r="E15" s="7" t="s">
        <v>370</v>
      </c>
      <c r="F15">
        <v>6</v>
      </c>
      <c r="G15">
        <f>VLOOKUP(A15,Xinyi!A$1:I$52,6,FALSE)</f>
        <v>17</v>
      </c>
      <c r="H15" t="s">
        <v>313</v>
      </c>
      <c r="I15">
        <f>3/F15</f>
        <v>0.5</v>
      </c>
      <c r="J15" s="3">
        <f>14/G15</f>
        <v>0.82352941176470584</v>
      </c>
      <c r="K15" s="3">
        <f>3/16</f>
        <v>0.1875</v>
      </c>
      <c r="L15" s="3">
        <f>14/16</f>
        <v>0.875</v>
      </c>
      <c r="M15" t="s">
        <v>64</v>
      </c>
      <c r="N15" t="str">
        <f>VLOOKUP(A15,Xinyi!A$1:I$52,5,FALSE)</f>
        <v>['B-1', 'B-2', 'B-3', 'D1', 'D2', 'D3', 'DR', 'LP', 'O-1', 'O-2', 'O-3', 'OS', 'R-1/2', 'R-3', 'R-4', 'R-5', 'R-6']</v>
      </c>
      <c r="O15" t="s">
        <v>65</v>
      </c>
      <c r="P15" t="s">
        <v>312</v>
      </c>
    </row>
    <row r="16" spans="1:16">
      <c r="A16">
        <v>49</v>
      </c>
      <c r="B16" t="s">
        <v>29</v>
      </c>
      <c r="C16" t="s">
        <v>45</v>
      </c>
      <c r="D16" s="5" t="s">
        <v>314</v>
      </c>
      <c r="E16" s="7" t="s">
        <v>370</v>
      </c>
      <c r="F16">
        <v>23</v>
      </c>
      <c r="G16">
        <f>VLOOKUP(A16,Xinyi!A$1:I$52,6,FALSE)</f>
        <v>19</v>
      </c>
      <c r="H16" t="s">
        <v>316</v>
      </c>
      <c r="I16" s="3">
        <f>12/F16</f>
        <v>0.52173913043478259</v>
      </c>
      <c r="J16" s="3">
        <f>12/G16</f>
        <v>0.63157894736842102</v>
      </c>
      <c r="K16" s="3">
        <f>12/13</f>
        <v>0.92307692307692313</v>
      </c>
      <c r="L16" s="3">
        <f>12/13</f>
        <v>0.92307692307692313</v>
      </c>
      <c r="M16" t="s">
        <v>67</v>
      </c>
      <c r="N16" t="str">
        <f>VLOOKUP(A16,Xinyi!A$1:I$52,5,FALSE)</f>
        <v>['B-1', 'B-2', 'B-3', 'B-4', 'B-5', 'BB', 'DT', 'I-1', 'I-2', 'IN', 'OR', 'PR', 'PUD', 'R-1', 'R-2', 'R-3', 'R-4', 'R-5', 'R-6']</v>
      </c>
      <c r="O16" t="s">
        <v>68</v>
      </c>
      <c r="P16" t="s">
        <v>315</v>
      </c>
    </row>
    <row r="17" spans="1:16">
      <c r="A17">
        <v>50</v>
      </c>
      <c r="B17" t="s">
        <v>29</v>
      </c>
      <c r="C17" t="s">
        <v>69</v>
      </c>
      <c r="D17" s="5" t="s">
        <v>317</v>
      </c>
      <c r="E17" s="7" t="s">
        <v>370</v>
      </c>
      <c r="F17">
        <v>23</v>
      </c>
      <c r="G17">
        <f>VLOOKUP(A17,Xinyi!A$1:I$52,6,FALSE)</f>
        <v>18</v>
      </c>
      <c r="H17" t="s">
        <v>319</v>
      </c>
      <c r="I17" s="3">
        <f>11/F17</f>
        <v>0.47826086956521741</v>
      </c>
      <c r="J17" s="3">
        <f>11/G17</f>
        <v>0.61111111111111116</v>
      </c>
      <c r="K17" s="3">
        <f>11/12</f>
        <v>0.91666666666666663</v>
      </c>
      <c r="L17" s="3">
        <f>11/12</f>
        <v>0.91666666666666663</v>
      </c>
      <c r="M17" t="s">
        <v>71</v>
      </c>
      <c r="N17" t="str">
        <f>VLOOKUP(A17,Xinyi!A$1:I$52,5,FALSE)</f>
        <v>['B-1', 'B-2', 'CAR', 'I-1', 'I-2', 'IN', 'OR', 'P-1', 'PARK', 'PUD', 'R-1', 'R-1A', 'R-2', 'R-3', 'R-3A', 'R1A', 'RM-4', 'TV']</v>
      </c>
      <c r="O17" t="s">
        <v>72</v>
      </c>
      <c r="P17" t="s">
        <v>318</v>
      </c>
    </row>
    <row r="18" spans="1:16">
      <c r="A18">
        <v>51</v>
      </c>
      <c r="B18" t="s">
        <v>29</v>
      </c>
      <c r="C18" t="s">
        <v>49</v>
      </c>
      <c r="D18" s="5" t="s">
        <v>329</v>
      </c>
      <c r="E18" s="7" t="s">
        <v>370</v>
      </c>
      <c r="F18">
        <v>33</v>
      </c>
      <c r="G18">
        <f>VLOOKUP(A18,Xinyi!A$1:I$52,6,FALSE)</f>
        <v>32</v>
      </c>
      <c r="H18" t="s">
        <v>331</v>
      </c>
      <c r="I18" s="3">
        <f>15/F18</f>
        <v>0.45454545454545453</v>
      </c>
      <c r="J18" s="3">
        <f>15/G18</f>
        <v>0.46875</v>
      </c>
      <c r="K18" s="3">
        <f>15/16</f>
        <v>0.9375</v>
      </c>
      <c r="L18" s="3">
        <f>15/16</f>
        <v>0.9375</v>
      </c>
      <c r="M18" t="s">
        <v>74</v>
      </c>
      <c r="N18" t="str">
        <f>VLOOKUP(A18,Xinyi!A$1:I$52,5,FALSE)</f>
        <v>['A-1', 'BA', 'C-1', 'C-2', 'C-3', 'C-4', 'C1', 'C2', 'C3', 'CAR', 'CMU', 'D-1', 'E-R', 'FSC', 'IN', 'IV', 'M-1', 'M-2', 'O-1', 'O-2', 'OR', 'PARK', 'R-1', 'R-2', 'R-3', 'R-4', 'R-O', 'R1', 'R2', 'R3', 'R4', 'RV']</v>
      </c>
      <c r="O18" t="s">
        <v>75</v>
      </c>
      <c r="P18" t="s">
        <v>330</v>
      </c>
    </row>
    <row r="19" spans="1:16">
      <c r="A19">
        <v>52</v>
      </c>
      <c r="B19" t="s">
        <v>29</v>
      </c>
      <c r="C19" t="s">
        <v>49</v>
      </c>
      <c r="D19" s="5" t="s">
        <v>320</v>
      </c>
      <c r="E19" s="7" t="s">
        <v>370</v>
      </c>
      <c r="F19">
        <v>0</v>
      </c>
      <c r="G19">
        <f>VLOOKUP(A19,Xinyi!A$1:I$52,6,FALSE)</f>
        <v>23</v>
      </c>
      <c r="H19" t="s">
        <v>322</v>
      </c>
      <c r="I19">
        <v>0</v>
      </c>
      <c r="J19" s="3">
        <f>21/G19</f>
        <v>0.91304347826086951</v>
      </c>
      <c r="K19">
        <v>0</v>
      </c>
      <c r="L19" s="3">
        <f>21/21</f>
        <v>1</v>
      </c>
      <c r="M19" t="s">
        <v>43</v>
      </c>
      <c r="N19" t="str">
        <f>VLOOKUP(A19,Xinyi!A$1:I$52,5,FALSE)</f>
        <v>['A-1', 'C-1', 'C-1A', 'C-2', 'C-3', 'C-4', 'C1', 'C3', 'E-1', 'I-1', 'I-2', 'I-3', 'O-1', 'O-2', 'OR-1', 'P-1', 'R-1', 'R-2', 'R-3', 'R-4', 'R-5', 'R-6', 'TOD']</v>
      </c>
      <c r="O19" t="s">
        <v>77</v>
      </c>
      <c r="P19" t="s">
        <v>321</v>
      </c>
    </row>
    <row r="20" spans="1:16">
      <c r="A20">
        <v>66</v>
      </c>
      <c r="B20" t="s">
        <v>29</v>
      </c>
      <c r="C20" t="s">
        <v>49</v>
      </c>
      <c r="D20" s="5" t="s">
        <v>332</v>
      </c>
      <c r="E20" s="7" t="s">
        <v>370</v>
      </c>
      <c r="F20">
        <v>36</v>
      </c>
      <c r="G20">
        <f>VLOOKUP(A20,Xinyi!A$1:I$52,6,FALSE)</f>
        <v>27</v>
      </c>
      <c r="H20" t="s">
        <v>334</v>
      </c>
      <c r="I20" s="3">
        <f>18/F20</f>
        <v>0.5</v>
      </c>
      <c r="J20" s="3">
        <f>18/G20</f>
        <v>0.66666666666666663</v>
      </c>
      <c r="K20" s="3">
        <f>18/24</f>
        <v>0.75</v>
      </c>
      <c r="L20" s="3">
        <f>18/24</f>
        <v>0.75</v>
      </c>
      <c r="M20" t="s">
        <v>79</v>
      </c>
      <c r="N20" t="str">
        <f>VLOOKUP(A20,Xinyi!A$1:I$52,5,FALSE)</f>
        <v>['A-1', 'ABC', 'B-1', 'B-2', 'B-3', 'B-4', 'BR', 'E-R', 'FAR', 'IV', 'M-1', 'M-2', 'M-R', 'OR', 'P-1', 'PARK', 'PP', 'PUD', 'PVC', 'R-1', 'R-2', 'R-3', 'R-4', 'R-5', 'R-5A', 'R-6', 'R-7']</v>
      </c>
      <c r="O20" t="s">
        <v>80</v>
      </c>
      <c r="P20" t="s">
        <v>333</v>
      </c>
    </row>
    <row r="21" spans="1:16">
      <c r="A21" s="1">
        <v>68</v>
      </c>
      <c r="B21" t="s">
        <v>81</v>
      </c>
      <c r="C21" t="s">
        <v>82</v>
      </c>
      <c r="D21" t="s">
        <v>83</v>
      </c>
      <c r="E21" s="7" t="s">
        <v>373</v>
      </c>
      <c r="F21">
        <v>0</v>
      </c>
      <c r="G21" t="e">
        <f>VLOOKUP(A21,Xinyi!A$1:I$52,6,FALSE)</f>
        <v>#N/A</v>
      </c>
      <c r="M21" t="s">
        <v>43</v>
      </c>
      <c r="N21" t="e">
        <f>VLOOKUP(A21,Xinyi!A$1:I$52,5,FALSE)</f>
        <v>#N/A</v>
      </c>
      <c r="O21" t="s">
        <v>84</v>
      </c>
    </row>
    <row r="22" spans="1:16">
      <c r="A22" s="1">
        <v>69</v>
      </c>
      <c r="B22" t="s">
        <v>81</v>
      </c>
      <c r="C22" t="s">
        <v>45</v>
      </c>
      <c r="D22" t="s">
        <v>85</v>
      </c>
      <c r="E22" s="7" t="s">
        <v>373</v>
      </c>
      <c r="F22">
        <v>0</v>
      </c>
      <c r="G22" t="e">
        <f>VLOOKUP(A22,Xinyi!A$1:I$52,6,FALSE)</f>
        <v>#N/A</v>
      </c>
      <c r="M22" t="s">
        <v>43</v>
      </c>
      <c r="N22" t="e">
        <f>VLOOKUP(A22,Xinyi!A$1:I$52,5,FALSE)</f>
        <v>#N/A</v>
      </c>
      <c r="O22" t="s">
        <v>86</v>
      </c>
    </row>
    <row r="23" spans="1:16">
      <c r="A23">
        <v>70</v>
      </c>
      <c r="B23" t="s">
        <v>81</v>
      </c>
      <c r="C23" t="s">
        <v>45</v>
      </c>
      <c r="D23" t="s">
        <v>335</v>
      </c>
      <c r="F23">
        <v>9</v>
      </c>
      <c r="G23">
        <f>VLOOKUP(A23,Xinyi!A$1:I$52,6,FALSE)</f>
        <v>9</v>
      </c>
      <c r="H23" t="s">
        <v>337</v>
      </c>
      <c r="I23" s="3">
        <f>9/G23</f>
        <v>1</v>
      </c>
      <c r="J23" s="3">
        <f>9/G23</f>
        <v>1</v>
      </c>
      <c r="K23" s="3">
        <f>9/13</f>
        <v>0.69230769230769229</v>
      </c>
      <c r="L23" s="3">
        <f>9/13</f>
        <v>0.69230769230769229</v>
      </c>
      <c r="M23" t="s">
        <v>88</v>
      </c>
      <c r="N23" t="str">
        <f>VLOOKUP(A23,Xinyi!A$1:I$52,5,FALSE)</f>
        <v>['B-1', 'B-2', 'B-3', 'PUD', 'R-1', 'R-2', 'R-3', 'R-4', 'RD']</v>
      </c>
      <c r="O23" t="s">
        <v>89</v>
      </c>
      <c r="P23" t="s">
        <v>336</v>
      </c>
    </row>
    <row r="24" spans="1:16">
      <c r="A24" s="1">
        <v>80</v>
      </c>
      <c r="B24" t="s">
        <v>90</v>
      </c>
      <c r="C24" t="s">
        <v>91</v>
      </c>
      <c r="D24" s="6" t="s">
        <v>92</v>
      </c>
      <c r="E24" s="7" t="s">
        <v>371</v>
      </c>
      <c r="F24">
        <v>6</v>
      </c>
      <c r="G24" t="e">
        <f>VLOOKUP(A24,Xinyi!A$1:I$52,6,FALSE)</f>
        <v>#N/A</v>
      </c>
      <c r="M24" t="s">
        <v>93</v>
      </c>
      <c r="N24" t="e">
        <f>VLOOKUP(A24,Xinyi!A$1:I$52,5,FALSE)</f>
        <v>#N/A</v>
      </c>
      <c r="O24" t="s">
        <v>94</v>
      </c>
    </row>
    <row r="25" spans="1:16">
      <c r="A25" s="1">
        <v>81</v>
      </c>
      <c r="B25" t="s">
        <v>90</v>
      </c>
      <c r="C25" t="s">
        <v>95</v>
      </c>
      <c r="D25" s="6" t="s">
        <v>96</v>
      </c>
      <c r="E25" s="7" t="s">
        <v>371</v>
      </c>
      <c r="F25">
        <v>1</v>
      </c>
      <c r="G25" t="e">
        <f>VLOOKUP(A25,Xinyi!A$1:I$52,6,FALSE)</f>
        <v>#N/A</v>
      </c>
      <c r="M25" t="s">
        <v>97</v>
      </c>
      <c r="N25" t="e">
        <f>VLOOKUP(A25,Xinyi!A$1:I$52,5,FALSE)</f>
        <v>#N/A</v>
      </c>
      <c r="O25" t="s">
        <v>98</v>
      </c>
    </row>
    <row r="26" spans="1:16">
      <c r="A26" s="1">
        <v>82</v>
      </c>
      <c r="B26" t="s">
        <v>90</v>
      </c>
      <c r="C26" t="s">
        <v>99</v>
      </c>
      <c r="D26" t="s">
        <v>100</v>
      </c>
      <c r="E26" s="7" t="s">
        <v>373</v>
      </c>
      <c r="F26">
        <v>0</v>
      </c>
      <c r="G26" t="e">
        <f>VLOOKUP(A26,Xinyi!A$1:I$52,6,FALSE)</f>
        <v>#N/A</v>
      </c>
      <c r="M26" t="s">
        <v>43</v>
      </c>
      <c r="N26" t="e">
        <f>VLOOKUP(A26,Xinyi!A$1:I$52,5,FALSE)</f>
        <v>#N/A</v>
      </c>
      <c r="O26" t="s">
        <v>101</v>
      </c>
    </row>
    <row r="27" spans="1:16">
      <c r="A27" s="1">
        <v>83</v>
      </c>
      <c r="B27" t="s">
        <v>90</v>
      </c>
      <c r="C27" t="s">
        <v>99</v>
      </c>
      <c r="D27" t="s">
        <v>102</v>
      </c>
      <c r="E27" s="7" t="s">
        <v>373</v>
      </c>
      <c r="F27">
        <v>0</v>
      </c>
      <c r="G27" t="e">
        <f>VLOOKUP(A27,Xinyi!A$1:I$52,6,FALSE)</f>
        <v>#N/A</v>
      </c>
      <c r="M27" t="s">
        <v>43</v>
      </c>
      <c r="N27" t="e">
        <f>VLOOKUP(A27,Xinyi!A$1:I$52,5,FALSE)</f>
        <v>#N/A</v>
      </c>
      <c r="O27" t="s">
        <v>103</v>
      </c>
    </row>
    <row r="28" spans="1:16">
      <c r="A28">
        <v>86</v>
      </c>
      <c r="B28" t="s">
        <v>104</v>
      </c>
      <c r="C28" t="s">
        <v>105</v>
      </c>
      <c r="D28" s="5" t="s">
        <v>338</v>
      </c>
      <c r="E28" s="7" t="s">
        <v>370</v>
      </c>
      <c r="F28">
        <v>14</v>
      </c>
      <c r="G28">
        <f>VLOOKUP(A28,Xinyi!A$1:I$52,6,FALSE)</f>
        <v>13</v>
      </c>
      <c r="H28" t="s">
        <v>339</v>
      </c>
      <c r="I28" s="3">
        <f>5/F28</f>
        <v>0.35714285714285715</v>
      </c>
      <c r="J28" s="3">
        <f>5/G28</f>
        <v>0.38461538461538464</v>
      </c>
      <c r="K28" s="3">
        <f>5/5</f>
        <v>1</v>
      </c>
      <c r="L28" s="3">
        <f>5/5</f>
        <v>1</v>
      </c>
      <c r="M28" t="s">
        <v>107</v>
      </c>
      <c r="N28" t="str">
        <f>VLOOKUP(A28,Xinyi!A$1:I$52,5,FALSE)</f>
        <v>['C-1', 'IV', 'MFR', 'O-P', 'OR', 'PA', 'PP', 'PSC', 'PUD', 'R-1', 'R-2', 'R-3', 'SF']</v>
      </c>
      <c r="O28" t="s">
        <v>108</v>
      </c>
      <c r="P28" t="s">
        <v>340</v>
      </c>
    </row>
    <row r="29" spans="1:16">
      <c r="A29">
        <v>94</v>
      </c>
      <c r="B29" t="s">
        <v>104</v>
      </c>
      <c r="C29" t="s">
        <v>109</v>
      </c>
      <c r="D29" s="5" t="s">
        <v>341</v>
      </c>
      <c r="E29" s="7" t="s">
        <v>370</v>
      </c>
      <c r="F29">
        <v>25</v>
      </c>
      <c r="G29">
        <f>VLOOKUP(A29,Xinyi!A$1:I$52,6,FALSE)</f>
        <v>18</v>
      </c>
      <c r="H29" t="s">
        <v>342</v>
      </c>
      <c r="I29" s="3">
        <f>11/F29</f>
        <v>0.44</v>
      </c>
      <c r="J29" s="3">
        <f>11/G29</f>
        <v>0.61111111111111116</v>
      </c>
      <c r="K29" s="3">
        <f>11/12</f>
        <v>0.91666666666666663</v>
      </c>
      <c r="L29" s="3">
        <f>11/12</f>
        <v>0.91666666666666663</v>
      </c>
      <c r="M29" t="s">
        <v>111</v>
      </c>
      <c r="N29" t="str">
        <f>VLOOKUP(A29,Xinyi!A$1:I$52,5,FALSE)</f>
        <v>['C-1', 'C-2', 'C-3', 'CAR', 'CBD', 'IN', 'M-1', 'O-1', 'OR', 'PA', 'PARK', 'PD', 'PM', 'PR', 'R-1', 'R-2', 'R-3', 'TV']</v>
      </c>
      <c r="O29" t="s">
        <v>112</v>
      </c>
    </row>
    <row r="30" spans="1:16">
      <c r="A30">
        <v>98</v>
      </c>
      <c r="B30" t="s">
        <v>113</v>
      </c>
      <c r="C30" t="s">
        <v>114</v>
      </c>
      <c r="D30" s="5" t="s">
        <v>343</v>
      </c>
      <c r="E30" s="7" t="s">
        <v>370</v>
      </c>
      <c r="F30">
        <v>3</v>
      </c>
      <c r="G30">
        <f>VLOOKUP(A30,Xinyi!A$1:I$52,6,FALSE)</f>
        <v>10</v>
      </c>
      <c r="H30" t="s">
        <v>345</v>
      </c>
      <c r="I30" s="3">
        <f>3/F30</f>
        <v>1</v>
      </c>
      <c r="J30" s="3">
        <f>10/G30</f>
        <v>1</v>
      </c>
      <c r="K30" s="3">
        <f>3/18</f>
        <v>0.16666666666666666</v>
      </c>
      <c r="L30" s="3">
        <f>10/18</f>
        <v>0.55555555555555558</v>
      </c>
      <c r="M30" t="s">
        <v>116</v>
      </c>
      <c r="N30" t="str">
        <f>VLOOKUP(A30,Xinyi!A$1:I$52,5,FALSE)</f>
        <v>['A-1', 'B-1', 'B-2', 'B-3', 'P/OS', 'PUD', 'R-1', 'R-2', 'R-3', 'R-4']</v>
      </c>
      <c r="O30" t="s">
        <v>117</v>
      </c>
      <c r="P30" t="s">
        <v>344</v>
      </c>
    </row>
    <row r="31" spans="1:16">
      <c r="A31" s="8">
        <v>102</v>
      </c>
      <c r="B31" t="s">
        <v>118</v>
      </c>
      <c r="C31" t="s">
        <v>119</v>
      </c>
      <c r="D31" t="s">
        <v>120</v>
      </c>
      <c r="E31" s="7" t="s">
        <v>372</v>
      </c>
      <c r="F31">
        <v>0</v>
      </c>
      <c r="G31">
        <f>VLOOKUP(A31,Xinyi!A$1:I$52,6,FALSE)</f>
        <v>0</v>
      </c>
      <c r="M31" t="s">
        <v>43</v>
      </c>
      <c r="N31" t="str">
        <f>VLOOKUP(A31,Xinyi!A$1:I$52,5,FALSE)</f>
        <v>[]</v>
      </c>
      <c r="O31" t="s">
        <v>121</v>
      </c>
    </row>
    <row r="32" spans="1:16">
      <c r="A32" s="8">
        <v>103</v>
      </c>
      <c r="B32" t="s">
        <v>118</v>
      </c>
      <c r="C32" t="s">
        <v>119</v>
      </c>
      <c r="D32" t="s">
        <v>123</v>
      </c>
      <c r="E32" s="7" t="s">
        <v>372</v>
      </c>
      <c r="F32">
        <v>0</v>
      </c>
      <c r="G32">
        <f>VLOOKUP(A32,Xinyi!A$1:I$52,6,FALSE)</f>
        <v>0</v>
      </c>
      <c r="M32" t="s">
        <v>43</v>
      </c>
      <c r="N32" t="str">
        <f>VLOOKUP(A32,Xinyi!A$1:I$52,5,FALSE)</f>
        <v>[]</v>
      </c>
      <c r="O32" t="s">
        <v>124</v>
      </c>
    </row>
    <row r="33" spans="1:17">
      <c r="A33" s="8">
        <v>104</v>
      </c>
      <c r="B33" t="s">
        <v>118</v>
      </c>
      <c r="C33" t="s">
        <v>119</v>
      </c>
      <c r="D33" t="s">
        <v>125</v>
      </c>
      <c r="E33" s="7" t="s">
        <v>372</v>
      </c>
      <c r="F33">
        <v>0</v>
      </c>
      <c r="G33">
        <f>VLOOKUP(A33,Xinyi!A$1:I$52,6,FALSE)</f>
        <v>0</v>
      </c>
      <c r="M33" t="s">
        <v>43</v>
      </c>
      <c r="N33" t="str">
        <f>VLOOKUP(A33,Xinyi!A$1:I$52,5,FALSE)</f>
        <v>[]</v>
      </c>
      <c r="O33" t="s">
        <v>126</v>
      </c>
    </row>
    <row r="34" spans="1:17">
      <c r="A34" s="8">
        <v>106</v>
      </c>
      <c r="B34" t="s">
        <v>127</v>
      </c>
      <c r="C34" t="s">
        <v>128</v>
      </c>
      <c r="D34" t="s">
        <v>129</v>
      </c>
      <c r="E34" s="7" t="s">
        <v>372</v>
      </c>
      <c r="F34">
        <v>0</v>
      </c>
      <c r="G34">
        <f>VLOOKUP(A34,Xinyi!A$1:I$52,6,FALSE)</f>
        <v>0</v>
      </c>
      <c r="M34" t="s">
        <v>43</v>
      </c>
      <c r="N34" t="str">
        <f>VLOOKUP(A34,Xinyi!A$1:I$52,5,FALSE)</f>
        <v>[]</v>
      </c>
      <c r="O34" t="s">
        <v>130</v>
      </c>
    </row>
    <row r="35" spans="1:17">
      <c r="A35" s="1">
        <v>108</v>
      </c>
      <c r="B35" t="s">
        <v>131</v>
      </c>
      <c r="C35" t="s">
        <v>132</v>
      </c>
      <c r="D35" t="s">
        <v>133</v>
      </c>
      <c r="E35" s="7" t="s">
        <v>373</v>
      </c>
      <c r="F35">
        <v>0</v>
      </c>
      <c r="G35" t="e">
        <f>VLOOKUP(A35,Xinyi!A$1:I$52,6,FALSE)</f>
        <v>#N/A</v>
      </c>
      <c r="M35" t="s">
        <v>43</v>
      </c>
      <c r="N35" t="e">
        <f>VLOOKUP(A35,Xinyi!A$1:I$52,5,FALSE)</f>
        <v>#N/A</v>
      </c>
      <c r="O35" t="s">
        <v>134</v>
      </c>
    </row>
    <row r="36" spans="1:17">
      <c r="A36">
        <v>110</v>
      </c>
      <c r="B36" t="s">
        <v>135</v>
      </c>
      <c r="C36" t="s">
        <v>136</v>
      </c>
      <c r="D36" t="s">
        <v>346</v>
      </c>
      <c r="F36">
        <v>15</v>
      </c>
      <c r="G36">
        <f>VLOOKUP(A36,Xinyi!A$1:I$52,6,FALSE)</f>
        <v>11</v>
      </c>
      <c r="M36" t="s">
        <v>138</v>
      </c>
      <c r="N36" t="str">
        <f>VLOOKUP(A36,Xinyi!A$1:I$52,5,FALSE)</f>
        <v>['A-1', 'A-2', 'A-5', 'A-6', 'BA', 'FAR', 'H-1', 'IN', 'IV', 'LDR', 'OR']</v>
      </c>
      <c r="O36" t="s">
        <v>139</v>
      </c>
      <c r="P36" t="s">
        <v>347</v>
      </c>
      <c r="Q36" t="s">
        <v>348</v>
      </c>
    </row>
    <row r="37" spans="1:17">
      <c r="A37">
        <v>111</v>
      </c>
      <c r="B37" t="s">
        <v>135</v>
      </c>
      <c r="C37" t="s">
        <v>136</v>
      </c>
      <c r="D37" s="5" t="s">
        <v>349</v>
      </c>
      <c r="E37" s="7" t="s">
        <v>370</v>
      </c>
      <c r="F37">
        <v>0</v>
      </c>
      <c r="G37">
        <f>VLOOKUP(A37,Xinyi!A$1:I$52,6,FALSE)</f>
        <v>2</v>
      </c>
      <c r="H37" t="s">
        <v>351</v>
      </c>
      <c r="I37">
        <v>0</v>
      </c>
      <c r="J37" s="3">
        <f>2/G37</f>
        <v>1</v>
      </c>
      <c r="K37">
        <v>0</v>
      </c>
      <c r="L37" s="3">
        <f>2/9</f>
        <v>0.22222222222222221</v>
      </c>
      <c r="M37" t="s">
        <v>43</v>
      </c>
      <c r="N37" t="str">
        <f>VLOOKUP(A37,Xinyi!A$1:I$52,5,FALSE)</f>
        <v>['G-B', 'O-B']</v>
      </c>
      <c r="O37" t="s">
        <v>141</v>
      </c>
      <c r="P37" t="s">
        <v>350</v>
      </c>
    </row>
    <row r="38" spans="1:17">
      <c r="A38" s="1">
        <v>112</v>
      </c>
      <c r="B38" t="s">
        <v>135</v>
      </c>
      <c r="C38" t="s">
        <v>136</v>
      </c>
      <c r="D38" t="s">
        <v>142</v>
      </c>
      <c r="E38" s="7" t="s">
        <v>373</v>
      </c>
      <c r="F38">
        <v>0</v>
      </c>
      <c r="G38" t="e">
        <f>VLOOKUP(A38,Xinyi!A$1:I$52,6,FALSE)</f>
        <v>#N/A</v>
      </c>
      <c r="M38" t="s">
        <v>43</v>
      </c>
      <c r="N38" t="e">
        <f>VLOOKUP(A38,Xinyi!A$1:I$52,5,FALSE)</f>
        <v>#N/A</v>
      </c>
      <c r="O38" t="s">
        <v>143</v>
      </c>
    </row>
    <row r="39" spans="1:17">
      <c r="A39">
        <v>113</v>
      </c>
      <c r="B39" t="s">
        <v>135</v>
      </c>
      <c r="C39" t="s">
        <v>144</v>
      </c>
      <c r="D39" s="7" t="s">
        <v>352</v>
      </c>
      <c r="F39">
        <v>5</v>
      </c>
      <c r="G39">
        <f>VLOOKUP(A39,Xinyi!A$1:I$52,6,FALSE)</f>
        <v>5</v>
      </c>
      <c r="H39" t="s">
        <v>354</v>
      </c>
      <c r="I39" s="3">
        <f>5/F39</f>
        <v>1</v>
      </c>
      <c r="J39" s="3">
        <f>5/G39</f>
        <v>1</v>
      </c>
      <c r="K39" s="3">
        <f>5/30</f>
        <v>0.16666666666666666</v>
      </c>
      <c r="L39" s="3">
        <f>5/30</f>
        <v>0.16666666666666666</v>
      </c>
      <c r="M39" t="s">
        <v>146</v>
      </c>
      <c r="N39" t="str">
        <f>VLOOKUP(A39,Xinyi!A$1:I$52,5,FALSE)</f>
        <v>['CO-1', 'M-1', 'M-2', 'PD', 'RR-1']</v>
      </c>
      <c r="O39" t="s">
        <v>147</v>
      </c>
      <c r="P39" t="s">
        <v>353</v>
      </c>
    </row>
    <row r="40" spans="1:17">
      <c r="A40">
        <v>114</v>
      </c>
      <c r="B40" t="s">
        <v>135</v>
      </c>
      <c r="C40" t="s">
        <v>45</v>
      </c>
      <c r="D40" s="5" t="s">
        <v>355</v>
      </c>
      <c r="E40" s="7" t="s">
        <v>370</v>
      </c>
      <c r="F40">
        <v>1</v>
      </c>
      <c r="G40">
        <f>VLOOKUP(A40,Xinyi!A$1:I$52,6,FALSE)</f>
        <v>15</v>
      </c>
      <c r="H40" t="s">
        <v>357</v>
      </c>
      <c r="I40" s="3">
        <f>1/F40</f>
        <v>1</v>
      </c>
      <c r="J40" s="3">
        <f>14/G40</f>
        <v>0.93333333333333335</v>
      </c>
      <c r="K40" s="3">
        <f>1/18</f>
        <v>5.5555555555555552E-2</v>
      </c>
      <c r="L40" s="3">
        <f>14/18</f>
        <v>0.77777777777777779</v>
      </c>
      <c r="M40" t="s">
        <v>149</v>
      </c>
      <c r="N40" t="str">
        <f>VLOOKUP(A40,Xinyi!A$1:I$52,5,FALSE)</f>
        <v>['B-1', 'B-2', 'B-3', 'C-1', 'C-2', 'M-1', 'M-2', 'PD', 'PUD', 'R-1', 'R-10', 'R-2', 'R-3', 'R-4', 'R-5']</v>
      </c>
      <c r="O40" t="s">
        <v>150</v>
      </c>
      <c r="P40" t="s">
        <v>356</v>
      </c>
    </row>
    <row r="41" spans="1:17">
      <c r="A41">
        <v>115</v>
      </c>
      <c r="B41" t="s">
        <v>135</v>
      </c>
      <c r="C41" t="s">
        <v>45</v>
      </c>
      <c r="D41" t="s">
        <v>358</v>
      </c>
      <c r="F41">
        <v>2</v>
      </c>
      <c r="G41">
        <f>VLOOKUP(A41,Xinyi!A$1:I$52,6,FALSE)</f>
        <v>2</v>
      </c>
      <c r="H41" t="s">
        <v>360</v>
      </c>
      <c r="I41" s="3">
        <f>2/F41</f>
        <v>1</v>
      </c>
      <c r="J41" s="3">
        <f>2/G41</f>
        <v>1</v>
      </c>
      <c r="K41" s="3">
        <f>2/14</f>
        <v>0.14285714285714285</v>
      </c>
      <c r="L41" s="3">
        <f>2/14</f>
        <v>0.14285714285714285</v>
      </c>
      <c r="M41" t="s">
        <v>152</v>
      </c>
      <c r="N41" t="str">
        <f>VLOOKUP(A41,Xinyi!A$1:I$52,5,FALSE)</f>
        <v>['OB', 'OS']</v>
      </c>
      <c r="O41" t="s">
        <v>153</v>
      </c>
      <c r="P41" t="s">
        <v>359</v>
      </c>
    </row>
    <row r="42" spans="1:17">
      <c r="A42">
        <v>116</v>
      </c>
      <c r="B42" t="s">
        <v>135</v>
      </c>
      <c r="C42" t="s">
        <v>154</v>
      </c>
      <c r="D42" s="5" t="s">
        <v>361</v>
      </c>
      <c r="E42" s="7" t="s">
        <v>370</v>
      </c>
      <c r="F42">
        <v>7</v>
      </c>
      <c r="G42">
        <f>VLOOKUP(A42,Xinyi!A$1:I$52,6,FALSE)</f>
        <v>8</v>
      </c>
      <c r="H42" t="s">
        <v>363</v>
      </c>
      <c r="I42" s="3">
        <f>7/F42</f>
        <v>1</v>
      </c>
      <c r="J42" s="3">
        <f>8/G42</f>
        <v>1</v>
      </c>
      <c r="K42" s="3">
        <f>7/9</f>
        <v>0.77777777777777779</v>
      </c>
      <c r="L42" s="3">
        <f>8/9</f>
        <v>0.88888888888888884</v>
      </c>
      <c r="M42" t="s">
        <v>156</v>
      </c>
      <c r="N42" t="str">
        <f>VLOOKUP(A42,Xinyi!A$1:I$52,5,FALSE)</f>
        <v>['C-1', 'C-2', 'C-3', 'I-1', 'M-1', 'R-1', 'R-2', 'R-3']</v>
      </c>
      <c r="O42" t="s">
        <v>157</v>
      </c>
      <c r="P42" t="s">
        <v>362</v>
      </c>
    </row>
    <row r="43" spans="1:17">
      <c r="A43">
        <v>117</v>
      </c>
      <c r="B43" t="s">
        <v>135</v>
      </c>
      <c r="C43" t="s">
        <v>154</v>
      </c>
      <c r="D43" t="s">
        <v>364</v>
      </c>
      <c r="F43">
        <v>14</v>
      </c>
      <c r="G43">
        <f>VLOOKUP(A43,Xinyi!A$1:I$52,6,FALSE)</f>
        <v>14</v>
      </c>
      <c r="H43" t="s">
        <v>365</v>
      </c>
      <c r="I43" s="3">
        <f>14/F43</f>
        <v>1</v>
      </c>
      <c r="J43" s="3">
        <f>14/G43</f>
        <v>1</v>
      </c>
      <c r="K43" s="3">
        <f>14/17</f>
        <v>0.82352941176470584</v>
      </c>
      <c r="L43" s="3">
        <f>14/17</f>
        <v>0.82352941176470584</v>
      </c>
      <c r="M43" t="s">
        <v>159</v>
      </c>
      <c r="N43" t="str">
        <f>VLOOKUP(A43,Xinyi!A$1:I$52,5,FALSE)</f>
        <v>['B-1', 'B-2', 'B-3', 'B-4', 'B-5', 'I-1', 'I-2', 'I-3', 'PCD', 'R-1', 'R-2', 'R-3', 'R-4', 'R-5']</v>
      </c>
      <c r="O43" t="s">
        <v>160</v>
      </c>
    </row>
    <row r="44" spans="1:17">
      <c r="A44">
        <v>118</v>
      </c>
      <c r="B44" t="s">
        <v>135</v>
      </c>
      <c r="C44" t="s">
        <v>161</v>
      </c>
      <c r="D44" s="6" t="s">
        <v>366</v>
      </c>
      <c r="E44" s="7" t="s">
        <v>371</v>
      </c>
      <c r="F44">
        <v>16</v>
      </c>
      <c r="G44">
        <f>VLOOKUP(A44,Xinyi!A$1:I$52,6,FALSE)</f>
        <v>19</v>
      </c>
      <c r="H44" t="s">
        <v>368</v>
      </c>
      <c r="I44" s="3">
        <f>16/F44</f>
        <v>1</v>
      </c>
      <c r="J44" s="3">
        <f>16/G44</f>
        <v>0.84210526315789469</v>
      </c>
      <c r="K44" s="3">
        <f>16/18</f>
        <v>0.88888888888888884</v>
      </c>
      <c r="L44" s="3">
        <f>16/18</f>
        <v>0.88888888888888884</v>
      </c>
      <c r="M44" t="s">
        <v>163</v>
      </c>
      <c r="N44" t="str">
        <f>VLOOKUP(A44,Xinyi!A$1:I$52,5,FALSE)</f>
        <v>['A-1', 'B-1', 'C-1', 'C-2', 'C-2A', 'C-2B', 'C-3', 'C-3A', 'C-4', 'D-1', 'M-1', 'M-1A', 'M-2', 'R-1', 'R-2', 'R-3', 'R-4', 'SE', 'ST']</v>
      </c>
      <c r="O44" t="s">
        <v>164</v>
      </c>
      <c r="P44" t="s">
        <v>367</v>
      </c>
    </row>
    <row r="45" spans="1:17">
      <c r="A45">
        <v>119</v>
      </c>
      <c r="B45" t="s">
        <v>135</v>
      </c>
      <c r="C45" t="s">
        <v>136</v>
      </c>
      <c r="D45" t="s">
        <v>374</v>
      </c>
      <c r="F45">
        <v>10</v>
      </c>
      <c r="G45">
        <f>VLOOKUP(A45,Xinyi!A$1:I$52,6,FALSE)</f>
        <v>10</v>
      </c>
      <c r="H45" t="s">
        <v>376</v>
      </c>
      <c r="I45" s="3">
        <f>10/F45</f>
        <v>1</v>
      </c>
      <c r="J45" s="3">
        <f>10/G45</f>
        <v>1</v>
      </c>
      <c r="K45" s="3">
        <f>10/11</f>
        <v>0.90909090909090906</v>
      </c>
      <c r="L45" s="3">
        <f>10/11</f>
        <v>0.90909090909090906</v>
      </c>
      <c r="M45" t="s">
        <v>166</v>
      </c>
      <c r="N45" t="str">
        <f>VLOOKUP(A45,Xinyi!A$1:I$52,5,FALSE)</f>
        <v>['C-1', 'C-2', 'C-3', 'M-1', 'M-2', 'R-40', 'R-50', 'R-60', 'R-75', 'R-O']</v>
      </c>
      <c r="O45" t="s">
        <v>167</v>
      </c>
      <c r="P45" t="s">
        <v>375</v>
      </c>
    </row>
    <row r="46" spans="1:17">
      <c r="A46">
        <v>121</v>
      </c>
      <c r="B46" t="s">
        <v>135</v>
      </c>
      <c r="C46" t="s">
        <v>144</v>
      </c>
      <c r="D46" s="5" t="s">
        <v>377</v>
      </c>
      <c r="E46" s="7" t="s">
        <v>370</v>
      </c>
      <c r="F46">
        <v>1</v>
      </c>
      <c r="G46">
        <f>VLOOKUP(A46,Xinyi!A$1:I$52,6,FALSE)</f>
        <v>2</v>
      </c>
      <c r="H46" t="s">
        <v>379</v>
      </c>
      <c r="I46" s="3">
        <f>0/F46</f>
        <v>0</v>
      </c>
      <c r="J46" s="3">
        <f>1/G46</f>
        <v>0.5</v>
      </c>
      <c r="K46" s="3">
        <v>0</v>
      </c>
      <c r="L46" s="3">
        <f>1/12</f>
        <v>8.3333333333333329E-2</v>
      </c>
      <c r="M46" t="s">
        <v>169</v>
      </c>
      <c r="N46" t="str">
        <f>VLOOKUP(A46,Xinyi!A$1:I$52,5,FALSE)</f>
        <v>['OC', 'R-7']</v>
      </c>
      <c r="O46" t="s">
        <v>170</v>
      </c>
      <c r="P46" t="s">
        <v>378</v>
      </c>
    </row>
    <row r="47" spans="1:17">
      <c r="A47">
        <v>122</v>
      </c>
      <c r="B47" t="s">
        <v>135</v>
      </c>
      <c r="C47" t="s">
        <v>144</v>
      </c>
      <c r="D47" t="s">
        <v>380</v>
      </c>
      <c r="F47">
        <v>3</v>
      </c>
      <c r="G47">
        <f>VLOOKUP(A47,Xinyi!A$1:I$52,6,FALSE)</f>
        <v>3</v>
      </c>
      <c r="H47" t="s">
        <v>382</v>
      </c>
      <c r="I47" s="3">
        <f>3/F47</f>
        <v>1</v>
      </c>
      <c r="J47" s="3">
        <f>3/G47</f>
        <v>1</v>
      </c>
      <c r="K47" s="3">
        <f>3/9</f>
        <v>0.33333333333333331</v>
      </c>
      <c r="L47" s="3">
        <f>3/9</f>
        <v>0.33333333333333331</v>
      </c>
      <c r="M47" t="s">
        <v>172</v>
      </c>
      <c r="N47" t="str">
        <f>VLOOKUP(A47,Xinyi!A$1:I$52,5,FALSE)</f>
        <v>['C-1', 'C-2', 'C-3']</v>
      </c>
      <c r="O47" t="s">
        <v>173</v>
      </c>
      <c r="P47" t="s">
        <v>381</v>
      </c>
    </row>
    <row r="48" spans="1:17">
      <c r="A48">
        <v>123</v>
      </c>
      <c r="B48" t="s">
        <v>135</v>
      </c>
      <c r="C48" t="s">
        <v>154</v>
      </c>
      <c r="D48" t="s">
        <v>383</v>
      </c>
      <c r="F48">
        <v>11</v>
      </c>
      <c r="G48">
        <f>VLOOKUP(A48,Xinyi!A$1:I$52,6,FALSE)</f>
        <v>11</v>
      </c>
      <c r="H48" t="s">
        <v>385</v>
      </c>
      <c r="I48" s="3">
        <f>11/F48</f>
        <v>1</v>
      </c>
      <c r="J48" s="3">
        <f>11/G48</f>
        <v>1</v>
      </c>
      <c r="K48" s="3">
        <f>11/11</f>
        <v>1</v>
      </c>
      <c r="L48" s="3">
        <f>11/11</f>
        <v>1</v>
      </c>
      <c r="M48" t="s">
        <v>175</v>
      </c>
      <c r="N48" t="str">
        <f>VLOOKUP(A48,Xinyi!A$1:I$52,5,FALSE)</f>
        <v>['C-1', 'C-2', 'C-3', 'C-4', 'M-1', 'M-2', 'O-1', 'O-2', 'R-1', 'R-2', 'R-3']</v>
      </c>
      <c r="O48" t="s">
        <v>176</v>
      </c>
      <c r="P48" t="s">
        <v>384</v>
      </c>
    </row>
    <row r="49" spans="1:17">
      <c r="A49">
        <v>124</v>
      </c>
      <c r="B49" t="s">
        <v>135</v>
      </c>
      <c r="C49" t="s">
        <v>177</v>
      </c>
      <c r="D49" t="s">
        <v>386</v>
      </c>
      <c r="F49">
        <v>1</v>
      </c>
      <c r="G49">
        <f>VLOOKUP(A49,Xinyi!A$1:I$52,6,FALSE)</f>
        <v>1</v>
      </c>
      <c r="H49" t="s">
        <v>388</v>
      </c>
      <c r="I49" s="3">
        <f>1/1</f>
        <v>1</v>
      </c>
      <c r="J49" s="3">
        <f>1/1</f>
        <v>1</v>
      </c>
      <c r="K49" s="3">
        <f>1/8</f>
        <v>0.125</v>
      </c>
      <c r="L49" s="3">
        <f>1/8</f>
        <v>0.125</v>
      </c>
      <c r="M49" t="s">
        <v>179</v>
      </c>
      <c r="N49" t="str">
        <f>VLOOKUP(A49,Xinyi!A$1:I$52,5,FALSE)</f>
        <v>['C-1']</v>
      </c>
      <c r="O49" t="s">
        <v>180</v>
      </c>
      <c r="P49" t="s">
        <v>387</v>
      </c>
    </row>
    <row r="50" spans="1:17">
      <c r="A50" s="8">
        <v>126</v>
      </c>
      <c r="B50" t="s">
        <v>135</v>
      </c>
      <c r="C50" t="s">
        <v>136</v>
      </c>
      <c r="D50" t="s">
        <v>389</v>
      </c>
      <c r="E50" s="7" t="s">
        <v>372</v>
      </c>
      <c r="F50">
        <v>0</v>
      </c>
      <c r="G50">
        <f>VLOOKUP(A50,Xinyi!A$1:I$52,6,FALSE)</f>
        <v>0</v>
      </c>
      <c r="M50" t="s">
        <v>43</v>
      </c>
      <c r="N50" t="str">
        <f>VLOOKUP(A50,Xinyi!A$1:I$52,5,FALSE)</f>
        <v>[]</v>
      </c>
      <c r="O50" t="s">
        <v>182</v>
      </c>
      <c r="P50" t="s">
        <v>390</v>
      </c>
      <c r="Q50" t="s">
        <v>391</v>
      </c>
    </row>
    <row r="51" spans="1:17">
      <c r="A51">
        <v>127</v>
      </c>
      <c r="B51" t="s">
        <v>135</v>
      </c>
      <c r="C51" t="s">
        <v>183</v>
      </c>
      <c r="D51" t="s">
        <v>392</v>
      </c>
      <c r="F51">
        <v>5</v>
      </c>
      <c r="G51">
        <f>VLOOKUP(A51,Xinyi!A$1:I$52,6,FALSE)</f>
        <v>5</v>
      </c>
      <c r="H51" t="s">
        <v>394</v>
      </c>
      <c r="I51" s="9">
        <v>1</v>
      </c>
      <c r="J51" s="9">
        <v>1</v>
      </c>
      <c r="K51" s="3">
        <f>5/7</f>
        <v>0.7142857142857143</v>
      </c>
      <c r="L51" s="3">
        <f>5/7</f>
        <v>0.7142857142857143</v>
      </c>
      <c r="M51" t="s">
        <v>185</v>
      </c>
      <c r="N51" t="str">
        <f>VLOOKUP(A51,Xinyi!A$1:I$52,5,FALSE)</f>
        <v>['B-1', 'B-2', 'B-3', 'B-4', 'R-P']</v>
      </c>
      <c r="O51" t="s">
        <v>186</v>
      </c>
      <c r="P51" t="s">
        <v>393</v>
      </c>
    </row>
    <row r="52" spans="1:17">
      <c r="A52" s="1">
        <v>128</v>
      </c>
      <c r="B52" t="s">
        <v>135</v>
      </c>
      <c r="C52" t="s">
        <v>187</v>
      </c>
      <c r="D52" t="s">
        <v>188</v>
      </c>
      <c r="E52" s="7" t="s">
        <v>373</v>
      </c>
      <c r="F52">
        <v>0</v>
      </c>
      <c r="G52" t="e">
        <f>VLOOKUP(A52,Xinyi!A$1:I$52,6,FALSE)</f>
        <v>#N/A</v>
      </c>
      <c r="M52" t="s">
        <v>43</v>
      </c>
      <c r="N52" t="e">
        <f>VLOOKUP(A52,Xinyi!A$1:I$52,5,FALSE)</f>
        <v>#N/A</v>
      </c>
      <c r="O52" t="s">
        <v>189</v>
      </c>
    </row>
    <row r="53" spans="1:17">
      <c r="A53" s="1">
        <v>129</v>
      </c>
      <c r="B53" t="s">
        <v>135</v>
      </c>
      <c r="C53" t="s">
        <v>190</v>
      </c>
      <c r="D53" t="s">
        <v>191</v>
      </c>
      <c r="E53" s="7" t="s">
        <v>373</v>
      </c>
      <c r="F53">
        <v>0</v>
      </c>
      <c r="G53" t="e">
        <f>VLOOKUP(A53,Xinyi!A$1:I$52,6,FALSE)</f>
        <v>#N/A</v>
      </c>
      <c r="M53" t="s">
        <v>43</v>
      </c>
      <c r="N53" t="e">
        <f>VLOOKUP(A53,Xinyi!A$1:I$52,5,FALSE)</f>
        <v>#N/A</v>
      </c>
      <c r="O53" t="s">
        <v>192</v>
      </c>
    </row>
    <row r="54" spans="1:17">
      <c r="A54" s="8">
        <v>135</v>
      </c>
      <c r="B54" t="s">
        <v>193</v>
      </c>
      <c r="C54" t="s">
        <v>194</v>
      </c>
      <c r="D54" t="s">
        <v>195</v>
      </c>
      <c r="F54">
        <v>0</v>
      </c>
      <c r="G54">
        <f>VLOOKUP(A54,Xinyi!A$1:I$52,6,FALSE)</f>
        <v>0</v>
      </c>
      <c r="M54" t="s">
        <v>43</v>
      </c>
      <c r="N54" t="str">
        <f>VLOOKUP(A54,Xinyi!A$1:I$52,5,FALSE)</f>
        <v>[]</v>
      </c>
      <c r="O54" t="s">
        <v>196</v>
      </c>
    </row>
    <row r="55" spans="1:17">
      <c r="A55" s="8">
        <v>136</v>
      </c>
      <c r="B55" t="s">
        <v>197</v>
      </c>
      <c r="C55" t="s">
        <v>198</v>
      </c>
      <c r="D55" t="s">
        <v>199</v>
      </c>
      <c r="F55">
        <v>0</v>
      </c>
      <c r="G55">
        <f>VLOOKUP(A55,Xinyi!A$1:I$52,6,FALSE)</f>
        <v>0</v>
      </c>
      <c r="M55" t="s">
        <v>43</v>
      </c>
      <c r="N55" t="str">
        <f>VLOOKUP(A55,Xinyi!A$1:I$52,5,FALSE)</f>
        <v>[]</v>
      </c>
      <c r="O55" t="s">
        <v>200</v>
      </c>
    </row>
    <row r="56" spans="1:17">
      <c r="A56">
        <v>137</v>
      </c>
      <c r="B56" t="s">
        <v>201</v>
      </c>
      <c r="C56" t="s">
        <v>202</v>
      </c>
      <c r="D56" s="5" t="s">
        <v>395</v>
      </c>
      <c r="E56" s="7" t="s">
        <v>370</v>
      </c>
      <c r="F56">
        <v>23</v>
      </c>
      <c r="G56">
        <f>VLOOKUP(A56,Xinyi!A$1:I$52,6,FALSE)</f>
        <v>10</v>
      </c>
      <c r="H56" t="s">
        <v>397</v>
      </c>
      <c r="I56" s="3">
        <f>3/F56</f>
        <v>0.13043478260869565</v>
      </c>
      <c r="J56" s="3">
        <f>3/G56</f>
        <v>0.3</v>
      </c>
      <c r="K56" s="3">
        <f>3/12</f>
        <v>0.25</v>
      </c>
      <c r="L56" s="3">
        <f>3/12</f>
        <v>0.25</v>
      </c>
      <c r="M56" t="s">
        <v>204</v>
      </c>
      <c r="N56" t="str">
        <f>VLOOKUP(A56,Xinyi!A$1:I$52,5,FALSE)</f>
        <v>['CA', 'CAR', 'CC', 'CS', 'DB', 'IN', 'OR', 'PARK', 'PD', 'RV']</v>
      </c>
      <c r="O56" t="s">
        <v>205</v>
      </c>
      <c r="P56" t="s">
        <v>396</v>
      </c>
    </row>
    <row r="57" spans="1:17">
      <c r="A57">
        <v>142</v>
      </c>
      <c r="B57" t="s">
        <v>206</v>
      </c>
      <c r="C57" t="s">
        <v>207</v>
      </c>
      <c r="D57" s="5" t="s">
        <v>398</v>
      </c>
      <c r="E57" s="7" t="s">
        <v>370</v>
      </c>
      <c r="F57">
        <v>38</v>
      </c>
      <c r="G57">
        <f>VLOOKUP(A57,Xinyi!A$1:I$52,6,FALSE)</f>
        <v>34</v>
      </c>
      <c r="H57" t="s">
        <v>400</v>
      </c>
      <c r="I57" s="3">
        <f>14/F57</f>
        <v>0.36842105263157893</v>
      </c>
      <c r="J57" s="3">
        <f>15/G57</f>
        <v>0.44117647058823528</v>
      </c>
      <c r="K57" s="3">
        <f>14/20</f>
        <v>0.7</v>
      </c>
      <c r="L57" s="3">
        <f>15/20</f>
        <v>0.75</v>
      </c>
      <c r="M57" t="s">
        <v>209</v>
      </c>
      <c r="N57" t="str">
        <f>VLOOKUP(A57,Xinyi!A$1:I$52,5,FALSE)</f>
        <v>['AH', 'CA', 'CB', 'CC', 'CM', 'CO', 'FAR', 'GC', 'GI', 'H-1', 'IL', 'IN', 'MU', 'NC', 'OR', 'PARK', 'PC', 'PD', 'R-1', 'R-1A', 'R-2', 'R-25', 'R-2A', 'R-3', 'R-3A', 'R-4', 'R-L', 'R-T', 'RL', 'RV', 'SCC', 'SR', 'TV', 'US']</v>
      </c>
      <c r="O57" t="s">
        <v>210</v>
      </c>
      <c r="P57" t="s">
        <v>399</v>
      </c>
    </row>
    <row r="58" spans="1:17">
      <c r="A58" s="8">
        <v>175</v>
      </c>
      <c r="B58" t="s">
        <v>211</v>
      </c>
      <c r="C58" t="s">
        <v>212</v>
      </c>
      <c r="D58" t="s">
        <v>115</v>
      </c>
      <c r="F58">
        <v>0</v>
      </c>
      <c r="G58">
        <f>VLOOKUP(A58,Xinyi!A$1:I$52,6,FALSE)</f>
        <v>0</v>
      </c>
      <c r="M58" t="s">
        <v>43</v>
      </c>
      <c r="N58" t="str">
        <f>VLOOKUP(A58,Xinyi!A$1:I$52,5,FALSE)</f>
        <v>[]</v>
      </c>
      <c r="O58" t="s">
        <v>213</v>
      </c>
    </row>
    <row r="59" spans="1:17">
      <c r="A59">
        <v>177</v>
      </c>
      <c r="B59" t="s">
        <v>211</v>
      </c>
      <c r="C59" t="s">
        <v>212</v>
      </c>
      <c r="D59" s="5" t="s">
        <v>401</v>
      </c>
      <c r="E59" s="7" t="s">
        <v>370</v>
      </c>
      <c r="F59">
        <v>0</v>
      </c>
      <c r="G59">
        <f>VLOOKUP(A59,Xinyi!A$1:I$52,6,FALSE)</f>
        <v>11</v>
      </c>
      <c r="H59" t="s">
        <v>403</v>
      </c>
      <c r="I59" s="3">
        <v>0</v>
      </c>
      <c r="J59" s="3">
        <f>10/G59</f>
        <v>0.90909090909090906</v>
      </c>
      <c r="K59" s="3">
        <v>0</v>
      </c>
      <c r="L59" s="3">
        <f>10/16</f>
        <v>0.625</v>
      </c>
      <c r="M59" t="s">
        <v>43</v>
      </c>
      <c r="N59" t="str">
        <f>VLOOKUP(A59,Xinyi!A$1:I$52,5,FALSE)</f>
        <v>['B-C', 'C-H', 'C-R', 'L-I', 'PUD', 'R-7', 'R-L', 'R-LM', 'R-M', 'R-P', 'T-1']</v>
      </c>
      <c r="O59" t="s">
        <v>215</v>
      </c>
      <c r="P59" t="s">
        <v>402</v>
      </c>
    </row>
    <row r="60" spans="1:17">
      <c r="A60">
        <v>179</v>
      </c>
      <c r="B60" t="s">
        <v>211</v>
      </c>
      <c r="C60" t="s">
        <v>216</v>
      </c>
      <c r="D60" s="5" t="s">
        <v>404</v>
      </c>
      <c r="E60" s="7" t="s">
        <v>370</v>
      </c>
      <c r="F60">
        <v>1</v>
      </c>
      <c r="G60">
        <f>VLOOKUP(A60,Xinyi!A$1:I$52,6,FALSE)</f>
        <v>15</v>
      </c>
      <c r="H60" t="s">
        <v>405</v>
      </c>
      <c r="I60" s="3">
        <v>0</v>
      </c>
      <c r="J60" s="3">
        <f>14/G60</f>
        <v>0.93333333333333335</v>
      </c>
      <c r="K60" s="3">
        <v>0</v>
      </c>
      <c r="L60" s="3">
        <f>14/30</f>
        <v>0.46666666666666667</v>
      </c>
      <c r="M60" t="s">
        <v>218</v>
      </c>
      <c r="N60" t="str">
        <f>VLOOKUP(A60,Xinyi!A$1:I$52,5,FALSE)</f>
        <v>['A-1', 'C-1', 'C-2', 'EC', 'IN', 'M-1', 'MU', 'MU-2', 'OP', 'PD', 'R-1-10', 'R-1-15', 'R-M', 'RC', 'VMU']</v>
      </c>
      <c r="O60" t="s">
        <v>219</v>
      </c>
    </row>
    <row r="61" spans="1:17">
      <c r="A61">
        <v>181</v>
      </c>
      <c r="B61" t="s">
        <v>211</v>
      </c>
      <c r="C61" t="s">
        <v>220</v>
      </c>
      <c r="D61" t="s">
        <v>406</v>
      </c>
      <c r="F61">
        <v>2</v>
      </c>
      <c r="G61">
        <f>VLOOKUP(A61,Xinyi!A$1:I$52,6,FALSE)</f>
        <v>3</v>
      </c>
      <c r="H61" t="s">
        <v>407</v>
      </c>
      <c r="I61">
        <v>0</v>
      </c>
      <c r="J61">
        <v>0</v>
      </c>
      <c r="K61">
        <v>0</v>
      </c>
      <c r="L61">
        <v>0</v>
      </c>
      <c r="M61" t="s">
        <v>222</v>
      </c>
      <c r="N61" t="str">
        <f>VLOOKUP(A61,Xinyi!A$1:I$52,5,FALSE)</f>
        <v>['B3', 'IN', 'PR']</v>
      </c>
      <c r="O61" t="s">
        <v>223</v>
      </c>
    </row>
    <row r="62" spans="1:17">
      <c r="A62">
        <v>184</v>
      </c>
      <c r="B62" t="s">
        <v>211</v>
      </c>
      <c r="C62" t="s">
        <v>224</v>
      </c>
      <c r="D62" s="5" t="s">
        <v>408</v>
      </c>
      <c r="E62" s="7" t="s">
        <v>370</v>
      </c>
      <c r="F62">
        <v>1</v>
      </c>
      <c r="G62">
        <f>VLOOKUP(A62,Xinyi!A$1:I$52,6,FALSE)</f>
        <v>4</v>
      </c>
      <c r="H62" t="s">
        <v>409</v>
      </c>
      <c r="I62" s="3">
        <v>1</v>
      </c>
      <c r="J62" s="3">
        <v>1</v>
      </c>
      <c r="K62" s="3">
        <f>1/12</f>
        <v>8.3333333333333329E-2</v>
      </c>
      <c r="L62" s="3">
        <f>4/12</f>
        <v>0.33333333333333331</v>
      </c>
      <c r="M62" t="s">
        <v>226</v>
      </c>
      <c r="N62" t="str">
        <f>VLOOKUP(A62,Xinyi!A$1:I$52,5,FALSE)</f>
        <v>['HD', 'OS', 'R-1-10', 'RA']</v>
      </c>
      <c r="O62" t="s">
        <v>227</v>
      </c>
    </row>
  </sheetData>
  <phoneticPr fontId="2" type="noConversion"/>
  <hyperlinks>
    <hyperlink ref="P2" r:id="rId1" xr:uid="{F97D47B1-5FE4-4745-B981-EBF222D57988}"/>
    <hyperlink ref="P3" r:id="rId2" location="JD_9-1B-1" xr:uid="{D2ECCDDA-1188-D042-B250-42F92DFB3DAF}"/>
    <hyperlink ref="P5" r:id="rId3" location="JD_5-1-4" xr:uid="{6E7910B8-EFBE-3445-BB73-8B5906C34C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82B5-3F18-554B-ADC9-88B6ED77E95C}">
  <dimension ref="A1:I62"/>
  <sheetViews>
    <sheetView workbookViewId="0">
      <selection activeCell="F2" sqref="F2:F62"/>
    </sheetView>
  </sheetViews>
  <sheetFormatPr baseColWidth="10" defaultRowHeight="16"/>
  <cols>
    <col min="5" max="5" width="4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 t="s">
        <v>9</v>
      </c>
      <c r="C2" t="s">
        <v>10</v>
      </c>
      <c r="D2" t="s">
        <v>11</v>
      </c>
      <c r="E2" t="s">
        <v>244</v>
      </c>
      <c r="F2">
        <v>30</v>
      </c>
      <c r="G2">
        <v>234</v>
      </c>
      <c r="H2" t="s">
        <v>13</v>
      </c>
      <c r="I2" t="s">
        <v>14</v>
      </c>
    </row>
    <row r="3" spans="1:9">
      <c r="A3">
        <v>6</v>
      </c>
      <c r="B3" t="s">
        <v>9</v>
      </c>
      <c r="C3" t="s">
        <v>15</v>
      </c>
      <c r="D3" t="s">
        <v>16</v>
      </c>
      <c r="E3" t="s">
        <v>17</v>
      </c>
      <c r="F3">
        <v>13</v>
      </c>
      <c r="G3">
        <v>26</v>
      </c>
      <c r="H3" t="s">
        <v>18</v>
      </c>
      <c r="I3" t="s">
        <v>14</v>
      </c>
    </row>
    <row r="4" spans="1:9">
      <c r="A4">
        <v>22</v>
      </c>
      <c r="B4" t="s">
        <v>19</v>
      </c>
      <c r="C4" t="s">
        <v>20</v>
      </c>
      <c r="D4" t="s">
        <v>21</v>
      </c>
      <c r="E4" t="s">
        <v>22</v>
      </c>
      <c r="F4">
        <v>34</v>
      </c>
      <c r="G4">
        <v>576</v>
      </c>
      <c r="H4" t="s">
        <v>23</v>
      </c>
      <c r="I4" t="s">
        <v>14</v>
      </c>
    </row>
    <row r="5" spans="1:9">
      <c r="A5">
        <v>31</v>
      </c>
      <c r="B5" t="s">
        <v>24</v>
      </c>
      <c r="C5" t="s">
        <v>25</v>
      </c>
      <c r="D5" t="s">
        <v>26</v>
      </c>
      <c r="E5" t="s">
        <v>27</v>
      </c>
      <c r="F5">
        <v>11</v>
      </c>
      <c r="G5">
        <v>12</v>
      </c>
      <c r="H5" t="s">
        <v>28</v>
      </c>
      <c r="I5" t="s">
        <v>14</v>
      </c>
    </row>
    <row r="6" spans="1:9">
      <c r="A6">
        <v>33</v>
      </c>
      <c r="B6" t="s">
        <v>29</v>
      </c>
      <c r="C6" t="s">
        <v>30</v>
      </c>
      <c r="D6" t="s">
        <v>31</v>
      </c>
      <c r="E6" t="s">
        <v>32</v>
      </c>
      <c r="F6">
        <v>10</v>
      </c>
      <c r="G6">
        <v>14</v>
      </c>
      <c r="H6" t="s">
        <v>33</v>
      </c>
      <c r="I6" t="s">
        <v>14</v>
      </c>
    </row>
    <row r="7" spans="1:9">
      <c r="A7">
        <v>34</v>
      </c>
      <c r="B7" t="s">
        <v>29</v>
      </c>
      <c r="C7" t="s">
        <v>34</v>
      </c>
      <c r="D7" t="s">
        <v>35</v>
      </c>
      <c r="E7" t="s">
        <v>36</v>
      </c>
      <c r="F7">
        <v>1</v>
      </c>
      <c r="G7">
        <v>4</v>
      </c>
      <c r="H7" t="s">
        <v>37</v>
      </c>
      <c r="I7" t="s">
        <v>14</v>
      </c>
    </row>
    <row r="8" spans="1:9">
      <c r="A8">
        <v>35</v>
      </c>
      <c r="B8" t="s">
        <v>29</v>
      </c>
      <c r="C8" t="s">
        <v>34</v>
      </c>
      <c r="D8" t="s">
        <v>38</v>
      </c>
      <c r="E8" t="s">
        <v>39</v>
      </c>
      <c r="F8">
        <v>32</v>
      </c>
      <c r="G8">
        <v>345</v>
      </c>
      <c r="H8" t="s">
        <v>40</v>
      </c>
      <c r="I8" t="s">
        <v>14</v>
      </c>
    </row>
    <row r="9" spans="1:9">
      <c r="A9">
        <v>36</v>
      </c>
      <c r="B9" t="s">
        <v>29</v>
      </c>
      <c r="C9" t="s">
        <v>41</v>
      </c>
      <c r="D9" t="s">
        <v>42</v>
      </c>
      <c r="E9" t="s">
        <v>43</v>
      </c>
      <c r="F9">
        <v>0</v>
      </c>
      <c r="G9">
        <v>0</v>
      </c>
      <c r="H9" t="s">
        <v>44</v>
      </c>
      <c r="I9" t="s">
        <v>14</v>
      </c>
    </row>
    <row r="10" spans="1:9">
      <c r="A10">
        <v>39</v>
      </c>
      <c r="B10" t="s">
        <v>29</v>
      </c>
      <c r="C10" t="s">
        <v>45</v>
      </c>
      <c r="D10" t="s">
        <v>46</v>
      </c>
      <c r="E10" t="s">
        <v>47</v>
      </c>
      <c r="F10">
        <v>24</v>
      </c>
      <c r="G10">
        <v>184</v>
      </c>
      <c r="H10" t="s">
        <v>48</v>
      </c>
      <c r="I10" t="s">
        <v>14</v>
      </c>
    </row>
    <row r="11" spans="1:9">
      <c r="A11">
        <v>41</v>
      </c>
      <c r="B11" t="s">
        <v>29</v>
      </c>
      <c r="C11" t="s">
        <v>49</v>
      </c>
      <c r="D11" t="s">
        <v>50</v>
      </c>
      <c r="E11" t="s">
        <v>51</v>
      </c>
      <c r="F11">
        <v>18</v>
      </c>
      <c r="G11">
        <v>41</v>
      </c>
      <c r="H11" t="s">
        <v>52</v>
      </c>
      <c r="I11" t="s">
        <v>14</v>
      </c>
    </row>
    <row r="12" spans="1:9">
      <c r="A12">
        <v>43</v>
      </c>
      <c r="B12" t="s">
        <v>29</v>
      </c>
      <c r="C12" t="s">
        <v>30</v>
      </c>
      <c r="D12" t="s">
        <v>53</v>
      </c>
      <c r="E12" t="s">
        <v>54</v>
      </c>
      <c r="F12">
        <v>9</v>
      </c>
      <c r="G12">
        <v>17</v>
      </c>
      <c r="H12" t="s">
        <v>55</v>
      </c>
      <c r="I12" t="s">
        <v>14</v>
      </c>
    </row>
    <row r="13" spans="1:9">
      <c r="A13">
        <v>45</v>
      </c>
      <c r="B13" t="s">
        <v>29</v>
      </c>
      <c r="C13" t="s">
        <v>34</v>
      </c>
      <c r="D13" t="s">
        <v>56</v>
      </c>
      <c r="E13" t="s">
        <v>57</v>
      </c>
      <c r="F13">
        <v>2</v>
      </c>
      <c r="G13">
        <v>17</v>
      </c>
      <c r="H13" t="s">
        <v>58</v>
      </c>
      <c r="I13" t="s">
        <v>14</v>
      </c>
    </row>
    <row r="14" spans="1:9">
      <c r="A14">
        <v>46</v>
      </c>
      <c r="B14" t="s">
        <v>29</v>
      </c>
      <c r="C14" t="s">
        <v>59</v>
      </c>
      <c r="D14" t="s">
        <v>60</v>
      </c>
      <c r="E14" t="s">
        <v>61</v>
      </c>
      <c r="F14">
        <v>1</v>
      </c>
      <c r="G14">
        <v>1</v>
      </c>
      <c r="H14" t="s">
        <v>62</v>
      </c>
      <c r="I14" t="s">
        <v>14</v>
      </c>
    </row>
    <row r="15" spans="1:9">
      <c r="A15">
        <v>47</v>
      </c>
      <c r="B15" t="s">
        <v>29</v>
      </c>
      <c r="C15" t="s">
        <v>45</v>
      </c>
      <c r="D15" t="s">
        <v>63</v>
      </c>
      <c r="E15" t="s">
        <v>64</v>
      </c>
      <c r="F15">
        <v>6</v>
      </c>
      <c r="G15">
        <v>10</v>
      </c>
      <c r="H15" t="s">
        <v>65</v>
      </c>
      <c r="I15" t="s">
        <v>14</v>
      </c>
    </row>
    <row r="16" spans="1:9">
      <c r="A16">
        <v>49</v>
      </c>
      <c r="B16" t="s">
        <v>29</v>
      </c>
      <c r="C16" t="s">
        <v>45</v>
      </c>
      <c r="D16" t="s">
        <v>66</v>
      </c>
      <c r="E16" t="s">
        <v>67</v>
      </c>
      <c r="F16">
        <v>23</v>
      </c>
      <c r="G16">
        <v>178</v>
      </c>
      <c r="H16" t="s">
        <v>68</v>
      </c>
      <c r="I16" t="s">
        <v>14</v>
      </c>
    </row>
    <row r="17" spans="1:9">
      <c r="A17">
        <v>50</v>
      </c>
      <c r="B17" t="s">
        <v>29</v>
      </c>
      <c r="C17" t="s">
        <v>69</v>
      </c>
      <c r="D17" t="s">
        <v>70</v>
      </c>
      <c r="E17" t="s">
        <v>71</v>
      </c>
      <c r="F17">
        <v>23</v>
      </c>
      <c r="G17">
        <v>127</v>
      </c>
      <c r="H17" t="s">
        <v>72</v>
      </c>
      <c r="I17" t="s">
        <v>14</v>
      </c>
    </row>
    <row r="18" spans="1:9">
      <c r="A18">
        <v>51</v>
      </c>
      <c r="B18" t="s">
        <v>29</v>
      </c>
      <c r="C18" t="s">
        <v>49</v>
      </c>
      <c r="D18" t="s">
        <v>73</v>
      </c>
      <c r="E18" t="s">
        <v>74</v>
      </c>
      <c r="F18">
        <v>33</v>
      </c>
      <c r="G18">
        <v>158</v>
      </c>
      <c r="H18" t="s">
        <v>75</v>
      </c>
      <c r="I18" t="s">
        <v>14</v>
      </c>
    </row>
    <row r="19" spans="1:9">
      <c r="A19">
        <v>52</v>
      </c>
      <c r="B19" t="s">
        <v>29</v>
      </c>
      <c r="C19" t="s">
        <v>49</v>
      </c>
      <c r="D19" t="s">
        <v>76</v>
      </c>
      <c r="E19" t="s">
        <v>43</v>
      </c>
      <c r="F19">
        <v>0</v>
      </c>
      <c r="G19">
        <v>0</v>
      </c>
      <c r="H19" t="s">
        <v>77</v>
      </c>
      <c r="I19" t="s">
        <v>14</v>
      </c>
    </row>
    <row r="20" spans="1:9">
      <c r="A20">
        <v>66</v>
      </c>
      <c r="B20" t="s">
        <v>29</v>
      </c>
      <c r="C20" t="s">
        <v>49</v>
      </c>
      <c r="D20" t="s">
        <v>78</v>
      </c>
      <c r="E20" t="s">
        <v>79</v>
      </c>
      <c r="F20">
        <v>36</v>
      </c>
      <c r="G20">
        <v>325</v>
      </c>
      <c r="H20" t="s">
        <v>80</v>
      </c>
      <c r="I20" t="s">
        <v>14</v>
      </c>
    </row>
    <row r="21" spans="1:9">
      <c r="A21">
        <v>68</v>
      </c>
      <c r="B21" t="s">
        <v>81</v>
      </c>
      <c r="C21" t="s">
        <v>82</v>
      </c>
      <c r="D21" t="s">
        <v>83</v>
      </c>
      <c r="E21" t="s">
        <v>43</v>
      </c>
      <c r="F21">
        <v>0</v>
      </c>
      <c r="G21">
        <v>0</v>
      </c>
      <c r="H21" t="s">
        <v>84</v>
      </c>
      <c r="I21" t="s">
        <v>14</v>
      </c>
    </row>
    <row r="22" spans="1:9">
      <c r="A22">
        <v>69</v>
      </c>
      <c r="B22" t="s">
        <v>81</v>
      </c>
      <c r="C22" t="s">
        <v>45</v>
      </c>
      <c r="D22" t="s">
        <v>85</v>
      </c>
      <c r="E22" t="s">
        <v>43</v>
      </c>
      <c r="F22">
        <v>0</v>
      </c>
      <c r="G22">
        <v>0</v>
      </c>
      <c r="H22" t="s">
        <v>86</v>
      </c>
      <c r="I22" t="s">
        <v>14</v>
      </c>
    </row>
    <row r="23" spans="1:9">
      <c r="A23">
        <v>70</v>
      </c>
      <c r="B23" t="s">
        <v>81</v>
      </c>
      <c r="C23" t="s">
        <v>45</v>
      </c>
      <c r="D23" t="s">
        <v>87</v>
      </c>
      <c r="E23" t="s">
        <v>88</v>
      </c>
      <c r="F23">
        <v>9</v>
      </c>
      <c r="G23">
        <v>26</v>
      </c>
      <c r="H23" t="s">
        <v>89</v>
      </c>
      <c r="I23" t="s">
        <v>14</v>
      </c>
    </row>
    <row r="24" spans="1:9">
      <c r="A24">
        <v>80</v>
      </c>
      <c r="B24" t="s">
        <v>90</v>
      </c>
      <c r="C24" t="s">
        <v>91</v>
      </c>
      <c r="D24" t="s">
        <v>92</v>
      </c>
      <c r="E24" t="s">
        <v>93</v>
      </c>
      <c r="F24">
        <v>6</v>
      </c>
      <c r="G24">
        <v>6</v>
      </c>
      <c r="H24" t="s">
        <v>94</v>
      </c>
      <c r="I24" t="s">
        <v>14</v>
      </c>
    </row>
    <row r="25" spans="1:9">
      <c r="A25">
        <v>81</v>
      </c>
      <c r="B25" t="s">
        <v>90</v>
      </c>
      <c r="C25" t="s">
        <v>95</v>
      </c>
      <c r="D25" t="s">
        <v>96</v>
      </c>
      <c r="E25" t="s">
        <v>97</v>
      </c>
      <c r="F25">
        <v>1</v>
      </c>
      <c r="G25">
        <v>1</v>
      </c>
      <c r="H25" t="s">
        <v>98</v>
      </c>
      <c r="I25" t="s">
        <v>14</v>
      </c>
    </row>
    <row r="26" spans="1:9">
      <c r="A26">
        <v>82</v>
      </c>
      <c r="B26" t="s">
        <v>90</v>
      </c>
      <c r="C26" t="s">
        <v>99</v>
      </c>
      <c r="D26" t="s">
        <v>100</v>
      </c>
      <c r="E26" t="s">
        <v>43</v>
      </c>
      <c r="F26">
        <v>0</v>
      </c>
      <c r="G26">
        <v>0</v>
      </c>
      <c r="H26" t="s">
        <v>101</v>
      </c>
      <c r="I26" t="s">
        <v>14</v>
      </c>
    </row>
    <row r="27" spans="1:9">
      <c r="A27">
        <v>83</v>
      </c>
      <c r="B27" t="s">
        <v>90</v>
      </c>
      <c r="C27" t="s">
        <v>99</v>
      </c>
      <c r="D27" t="s">
        <v>102</v>
      </c>
      <c r="E27" t="s">
        <v>43</v>
      </c>
      <c r="F27">
        <v>0</v>
      </c>
      <c r="G27">
        <v>0</v>
      </c>
      <c r="H27" t="s">
        <v>103</v>
      </c>
      <c r="I27" t="s">
        <v>14</v>
      </c>
    </row>
    <row r="28" spans="1:9">
      <c r="A28">
        <v>86</v>
      </c>
      <c r="B28" t="s">
        <v>104</v>
      </c>
      <c r="C28" t="s">
        <v>105</v>
      </c>
      <c r="D28" t="s">
        <v>106</v>
      </c>
      <c r="E28" t="s">
        <v>107</v>
      </c>
      <c r="F28">
        <v>14</v>
      </c>
      <c r="G28">
        <v>209</v>
      </c>
      <c r="H28" t="s">
        <v>108</v>
      </c>
      <c r="I28" t="s">
        <v>14</v>
      </c>
    </row>
    <row r="29" spans="1:9">
      <c r="A29">
        <v>94</v>
      </c>
      <c r="B29" t="s">
        <v>104</v>
      </c>
      <c r="C29" t="s">
        <v>109</v>
      </c>
      <c r="D29" t="s">
        <v>110</v>
      </c>
      <c r="E29" t="s">
        <v>111</v>
      </c>
      <c r="F29">
        <v>25</v>
      </c>
      <c r="G29">
        <v>208</v>
      </c>
      <c r="H29" t="s">
        <v>112</v>
      </c>
      <c r="I29" t="s">
        <v>14</v>
      </c>
    </row>
    <row r="30" spans="1:9">
      <c r="A30">
        <v>98</v>
      </c>
      <c r="B30" t="s">
        <v>113</v>
      </c>
      <c r="C30" t="s">
        <v>114</v>
      </c>
      <c r="D30" t="s">
        <v>115</v>
      </c>
      <c r="E30" t="s">
        <v>116</v>
      </c>
      <c r="F30">
        <v>3</v>
      </c>
      <c r="G30">
        <v>3</v>
      </c>
      <c r="H30" t="s">
        <v>117</v>
      </c>
      <c r="I30" t="s">
        <v>14</v>
      </c>
    </row>
    <row r="31" spans="1:9">
      <c r="A31">
        <v>102</v>
      </c>
      <c r="B31" t="s">
        <v>118</v>
      </c>
      <c r="C31" t="s">
        <v>119</v>
      </c>
      <c r="D31" t="s">
        <v>120</v>
      </c>
      <c r="E31" t="s">
        <v>43</v>
      </c>
      <c r="F31">
        <v>0</v>
      </c>
      <c r="G31">
        <v>0</v>
      </c>
      <c r="H31" t="s">
        <v>121</v>
      </c>
      <c r="I31" t="s">
        <v>122</v>
      </c>
    </row>
    <row r="32" spans="1:9">
      <c r="A32">
        <v>103</v>
      </c>
      <c r="B32" t="s">
        <v>118</v>
      </c>
      <c r="C32" t="s">
        <v>119</v>
      </c>
      <c r="D32" t="s">
        <v>123</v>
      </c>
      <c r="E32" t="s">
        <v>43</v>
      </c>
      <c r="F32">
        <v>0</v>
      </c>
      <c r="G32">
        <v>0</v>
      </c>
      <c r="H32" t="s">
        <v>124</v>
      </c>
      <c r="I32" t="s">
        <v>122</v>
      </c>
    </row>
    <row r="33" spans="1:9">
      <c r="A33">
        <v>104</v>
      </c>
      <c r="B33" t="s">
        <v>118</v>
      </c>
      <c r="C33" t="s">
        <v>119</v>
      </c>
      <c r="D33" t="s">
        <v>125</v>
      </c>
      <c r="E33" t="s">
        <v>43</v>
      </c>
      <c r="F33">
        <v>0</v>
      </c>
      <c r="G33">
        <v>0</v>
      </c>
      <c r="H33" t="s">
        <v>126</v>
      </c>
      <c r="I33" t="s">
        <v>122</v>
      </c>
    </row>
    <row r="34" spans="1:9">
      <c r="A34">
        <v>106</v>
      </c>
      <c r="B34" t="s">
        <v>127</v>
      </c>
      <c r="C34" t="s">
        <v>128</v>
      </c>
      <c r="D34" t="s">
        <v>129</v>
      </c>
      <c r="E34" t="s">
        <v>43</v>
      </c>
      <c r="F34">
        <v>0</v>
      </c>
      <c r="G34">
        <v>0</v>
      </c>
      <c r="H34" t="s">
        <v>130</v>
      </c>
      <c r="I34" t="s">
        <v>122</v>
      </c>
    </row>
    <row r="35" spans="1:9">
      <c r="A35">
        <v>108</v>
      </c>
      <c r="B35" t="s">
        <v>131</v>
      </c>
      <c r="C35" t="s">
        <v>132</v>
      </c>
      <c r="D35" t="s">
        <v>133</v>
      </c>
      <c r="E35" t="s">
        <v>43</v>
      </c>
      <c r="F35">
        <v>0</v>
      </c>
      <c r="G35">
        <v>0</v>
      </c>
      <c r="H35" t="s">
        <v>134</v>
      </c>
      <c r="I35" t="s">
        <v>122</v>
      </c>
    </row>
    <row r="36" spans="1:9">
      <c r="A36">
        <v>110</v>
      </c>
      <c r="B36" t="s">
        <v>135</v>
      </c>
      <c r="C36" t="s">
        <v>136</v>
      </c>
      <c r="D36" t="s">
        <v>137</v>
      </c>
      <c r="E36" t="s">
        <v>138</v>
      </c>
      <c r="F36">
        <v>15</v>
      </c>
      <c r="G36">
        <v>35</v>
      </c>
      <c r="H36" t="s">
        <v>139</v>
      </c>
      <c r="I36" t="s">
        <v>14</v>
      </c>
    </row>
    <row r="37" spans="1:9">
      <c r="A37">
        <v>111</v>
      </c>
      <c r="B37" t="s">
        <v>135</v>
      </c>
      <c r="C37" t="s">
        <v>136</v>
      </c>
      <c r="D37" t="s">
        <v>140</v>
      </c>
      <c r="E37" t="s">
        <v>43</v>
      </c>
      <c r="F37">
        <v>0</v>
      </c>
      <c r="G37">
        <v>0</v>
      </c>
      <c r="H37" t="s">
        <v>141</v>
      </c>
      <c r="I37" t="s">
        <v>14</v>
      </c>
    </row>
    <row r="38" spans="1:9">
      <c r="A38">
        <v>112</v>
      </c>
      <c r="B38" t="s">
        <v>135</v>
      </c>
      <c r="C38" t="s">
        <v>136</v>
      </c>
      <c r="D38" t="s">
        <v>142</v>
      </c>
      <c r="E38" t="s">
        <v>43</v>
      </c>
      <c r="F38">
        <v>0</v>
      </c>
      <c r="G38">
        <v>0</v>
      </c>
      <c r="H38" t="s">
        <v>143</v>
      </c>
      <c r="I38" t="s">
        <v>14</v>
      </c>
    </row>
    <row r="39" spans="1:9">
      <c r="A39">
        <v>113</v>
      </c>
      <c r="B39" t="s">
        <v>135</v>
      </c>
      <c r="C39" t="s">
        <v>144</v>
      </c>
      <c r="D39" t="s">
        <v>145</v>
      </c>
      <c r="E39" t="s">
        <v>146</v>
      </c>
      <c r="F39">
        <v>5</v>
      </c>
      <c r="G39">
        <v>5</v>
      </c>
      <c r="H39" t="s">
        <v>147</v>
      </c>
      <c r="I39" t="s">
        <v>14</v>
      </c>
    </row>
    <row r="40" spans="1:9">
      <c r="A40">
        <v>114</v>
      </c>
      <c r="B40" t="s">
        <v>135</v>
      </c>
      <c r="C40" t="s">
        <v>45</v>
      </c>
      <c r="D40" t="s">
        <v>148</v>
      </c>
      <c r="E40" t="s">
        <v>149</v>
      </c>
      <c r="F40">
        <v>1</v>
      </c>
      <c r="G40">
        <v>1</v>
      </c>
      <c r="H40" t="s">
        <v>150</v>
      </c>
      <c r="I40" t="s">
        <v>14</v>
      </c>
    </row>
    <row r="41" spans="1:9">
      <c r="A41">
        <v>115</v>
      </c>
      <c r="B41" t="s">
        <v>135</v>
      </c>
      <c r="C41" t="s">
        <v>45</v>
      </c>
      <c r="D41" t="s">
        <v>151</v>
      </c>
      <c r="E41" t="s">
        <v>152</v>
      </c>
      <c r="F41">
        <v>2</v>
      </c>
      <c r="G41">
        <v>2</v>
      </c>
      <c r="H41" t="s">
        <v>153</v>
      </c>
      <c r="I41" t="s">
        <v>14</v>
      </c>
    </row>
    <row r="42" spans="1:9">
      <c r="A42">
        <v>116</v>
      </c>
      <c r="B42" t="s">
        <v>135</v>
      </c>
      <c r="C42" t="s">
        <v>154</v>
      </c>
      <c r="D42" t="s">
        <v>155</v>
      </c>
      <c r="E42" t="s">
        <v>156</v>
      </c>
      <c r="F42">
        <v>7</v>
      </c>
      <c r="G42">
        <v>7</v>
      </c>
      <c r="H42" t="s">
        <v>157</v>
      </c>
      <c r="I42" t="s">
        <v>14</v>
      </c>
    </row>
    <row r="43" spans="1:9">
      <c r="A43">
        <v>117</v>
      </c>
      <c r="B43" t="s">
        <v>135</v>
      </c>
      <c r="C43" t="s">
        <v>154</v>
      </c>
      <c r="D43" t="s">
        <v>158</v>
      </c>
      <c r="E43" t="s">
        <v>159</v>
      </c>
      <c r="F43">
        <v>14</v>
      </c>
      <c r="G43">
        <v>14</v>
      </c>
      <c r="H43" t="s">
        <v>160</v>
      </c>
      <c r="I43" t="s">
        <v>14</v>
      </c>
    </row>
    <row r="44" spans="1:9">
      <c r="A44">
        <v>118</v>
      </c>
      <c r="B44" t="s">
        <v>135</v>
      </c>
      <c r="C44" t="s">
        <v>161</v>
      </c>
      <c r="D44" t="s">
        <v>162</v>
      </c>
      <c r="E44" t="s">
        <v>163</v>
      </c>
      <c r="F44">
        <v>16</v>
      </c>
      <c r="G44">
        <v>16</v>
      </c>
      <c r="H44" t="s">
        <v>164</v>
      </c>
      <c r="I44" t="s">
        <v>14</v>
      </c>
    </row>
    <row r="45" spans="1:9">
      <c r="A45">
        <v>119</v>
      </c>
      <c r="B45" t="s">
        <v>135</v>
      </c>
      <c r="C45" t="s">
        <v>136</v>
      </c>
      <c r="D45" t="s">
        <v>165</v>
      </c>
      <c r="E45" t="s">
        <v>166</v>
      </c>
      <c r="F45">
        <v>10</v>
      </c>
      <c r="G45">
        <v>10</v>
      </c>
      <c r="H45" t="s">
        <v>167</v>
      </c>
      <c r="I45" t="s">
        <v>14</v>
      </c>
    </row>
    <row r="46" spans="1:9">
      <c r="A46">
        <v>121</v>
      </c>
      <c r="B46" t="s">
        <v>135</v>
      </c>
      <c r="C46" t="s">
        <v>144</v>
      </c>
      <c r="D46" t="s">
        <v>168</v>
      </c>
      <c r="E46" t="s">
        <v>169</v>
      </c>
      <c r="F46">
        <v>1</v>
      </c>
      <c r="G46">
        <v>1</v>
      </c>
      <c r="H46" t="s">
        <v>170</v>
      </c>
      <c r="I46" t="s">
        <v>14</v>
      </c>
    </row>
    <row r="47" spans="1:9">
      <c r="A47">
        <v>122</v>
      </c>
      <c r="B47" t="s">
        <v>135</v>
      </c>
      <c r="C47" t="s">
        <v>144</v>
      </c>
      <c r="D47" t="s">
        <v>171</v>
      </c>
      <c r="E47" t="s">
        <v>172</v>
      </c>
      <c r="F47">
        <v>3</v>
      </c>
      <c r="G47">
        <v>3</v>
      </c>
      <c r="H47" t="s">
        <v>173</v>
      </c>
      <c r="I47" t="s">
        <v>14</v>
      </c>
    </row>
    <row r="48" spans="1:9">
      <c r="A48">
        <v>123</v>
      </c>
      <c r="B48" t="s">
        <v>135</v>
      </c>
      <c r="C48" t="s">
        <v>154</v>
      </c>
      <c r="D48" t="s">
        <v>174</v>
      </c>
      <c r="E48" t="s">
        <v>175</v>
      </c>
      <c r="F48">
        <v>11</v>
      </c>
      <c r="G48">
        <v>11</v>
      </c>
      <c r="H48" t="s">
        <v>176</v>
      </c>
      <c r="I48" t="s">
        <v>14</v>
      </c>
    </row>
    <row r="49" spans="1:9">
      <c r="A49">
        <v>124</v>
      </c>
      <c r="B49" t="s">
        <v>135</v>
      </c>
      <c r="C49" t="s">
        <v>177</v>
      </c>
      <c r="D49" t="s">
        <v>178</v>
      </c>
      <c r="E49" t="s">
        <v>179</v>
      </c>
      <c r="F49">
        <v>1</v>
      </c>
      <c r="G49">
        <v>1</v>
      </c>
      <c r="H49" t="s">
        <v>180</v>
      </c>
      <c r="I49" t="s">
        <v>14</v>
      </c>
    </row>
    <row r="50" spans="1:9">
      <c r="A50">
        <v>126</v>
      </c>
      <c r="B50" t="s">
        <v>135</v>
      </c>
      <c r="C50" t="s">
        <v>136</v>
      </c>
      <c r="D50" t="s">
        <v>181</v>
      </c>
      <c r="E50" t="s">
        <v>43</v>
      </c>
      <c r="F50">
        <v>0</v>
      </c>
      <c r="G50">
        <v>0</v>
      </c>
      <c r="H50" t="s">
        <v>182</v>
      </c>
      <c r="I50" t="s">
        <v>14</v>
      </c>
    </row>
    <row r="51" spans="1:9">
      <c r="A51">
        <v>127</v>
      </c>
      <c r="B51" t="s">
        <v>135</v>
      </c>
      <c r="C51" t="s">
        <v>183</v>
      </c>
      <c r="D51" t="s">
        <v>184</v>
      </c>
      <c r="E51" t="s">
        <v>185</v>
      </c>
      <c r="F51">
        <v>5</v>
      </c>
      <c r="G51">
        <v>5</v>
      </c>
      <c r="H51" t="s">
        <v>186</v>
      </c>
      <c r="I51" t="s">
        <v>14</v>
      </c>
    </row>
    <row r="52" spans="1:9">
      <c r="A52">
        <v>128</v>
      </c>
      <c r="B52" t="s">
        <v>135</v>
      </c>
      <c r="C52" t="s">
        <v>187</v>
      </c>
      <c r="D52" t="s">
        <v>188</v>
      </c>
      <c r="E52" t="s">
        <v>43</v>
      </c>
      <c r="F52">
        <v>0</v>
      </c>
      <c r="G52">
        <v>0</v>
      </c>
      <c r="H52" t="s">
        <v>189</v>
      </c>
      <c r="I52" t="s">
        <v>14</v>
      </c>
    </row>
    <row r="53" spans="1:9">
      <c r="A53">
        <v>129</v>
      </c>
      <c r="B53" t="s">
        <v>135</v>
      </c>
      <c r="C53" t="s">
        <v>190</v>
      </c>
      <c r="D53" t="s">
        <v>191</v>
      </c>
      <c r="E53" t="s">
        <v>43</v>
      </c>
      <c r="F53">
        <v>0</v>
      </c>
      <c r="G53">
        <v>0</v>
      </c>
      <c r="H53" t="s">
        <v>192</v>
      </c>
      <c r="I53" t="s">
        <v>14</v>
      </c>
    </row>
    <row r="54" spans="1:9">
      <c r="A54">
        <v>135</v>
      </c>
      <c r="B54" t="s">
        <v>193</v>
      </c>
      <c r="C54" t="s">
        <v>194</v>
      </c>
      <c r="D54" t="s">
        <v>195</v>
      </c>
      <c r="E54" t="s">
        <v>43</v>
      </c>
      <c r="F54">
        <v>0</v>
      </c>
      <c r="G54">
        <v>0</v>
      </c>
      <c r="H54" t="s">
        <v>196</v>
      </c>
      <c r="I54" t="s">
        <v>122</v>
      </c>
    </row>
    <row r="55" spans="1:9">
      <c r="A55">
        <v>136</v>
      </c>
      <c r="B55" t="s">
        <v>197</v>
      </c>
      <c r="C55" t="s">
        <v>198</v>
      </c>
      <c r="D55" t="s">
        <v>199</v>
      </c>
      <c r="E55" t="s">
        <v>43</v>
      </c>
      <c r="F55">
        <v>0</v>
      </c>
      <c r="G55">
        <v>0</v>
      </c>
      <c r="H55" t="s">
        <v>200</v>
      </c>
      <c r="I55" t="s">
        <v>122</v>
      </c>
    </row>
    <row r="56" spans="1:9">
      <c r="A56">
        <v>137</v>
      </c>
      <c r="B56" t="s">
        <v>201</v>
      </c>
      <c r="C56" t="s">
        <v>202</v>
      </c>
      <c r="D56" t="s">
        <v>203</v>
      </c>
      <c r="E56" t="s">
        <v>204</v>
      </c>
      <c r="F56">
        <v>23</v>
      </c>
      <c r="G56">
        <v>194</v>
      </c>
      <c r="H56" t="s">
        <v>205</v>
      </c>
      <c r="I56" t="s">
        <v>14</v>
      </c>
    </row>
    <row r="57" spans="1:9">
      <c r="A57">
        <v>142</v>
      </c>
      <c r="B57" t="s">
        <v>206</v>
      </c>
      <c r="C57" t="s">
        <v>207</v>
      </c>
      <c r="D57" t="s">
        <v>208</v>
      </c>
      <c r="E57" t="s">
        <v>209</v>
      </c>
      <c r="F57">
        <v>38</v>
      </c>
      <c r="G57">
        <v>316</v>
      </c>
      <c r="H57" t="s">
        <v>210</v>
      </c>
      <c r="I57" t="s">
        <v>14</v>
      </c>
    </row>
    <row r="58" spans="1:9">
      <c r="A58">
        <v>175</v>
      </c>
      <c r="B58" t="s">
        <v>211</v>
      </c>
      <c r="C58" t="s">
        <v>212</v>
      </c>
      <c r="D58" t="s">
        <v>115</v>
      </c>
      <c r="E58" t="s">
        <v>43</v>
      </c>
      <c r="F58">
        <v>0</v>
      </c>
      <c r="G58">
        <v>0</v>
      </c>
      <c r="H58" t="s">
        <v>213</v>
      </c>
      <c r="I58" t="s">
        <v>14</v>
      </c>
    </row>
    <row r="59" spans="1:9">
      <c r="A59">
        <v>177</v>
      </c>
      <c r="B59" t="s">
        <v>211</v>
      </c>
      <c r="C59" t="s">
        <v>212</v>
      </c>
      <c r="D59" t="s">
        <v>214</v>
      </c>
      <c r="E59" t="s">
        <v>43</v>
      </c>
      <c r="F59">
        <v>0</v>
      </c>
      <c r="G59">
        <v>0</v>
      </c>
      <c r="H59" t="s">
        <v>215</v>
      </c>
      <c r="I59" t="s">
        <v>14</v>
      </c>
    </row>
    <row r="60" spans="1:9">
      <c r="A60">
        <v>179</v>
      </c>
      <c r="B60" t="s">
        <v>211</v>
      </c>
      <c r="C60" t="s">
        <v>216</v>
      </c>
      <c r="D60" t="s">
        <v>217</v>
      </c>
      <c r="E60" t="s">
        <v>218</v>
      </c>
      <c r="F60">
        <v>1</v>
      </c>
      <c r="G60">
        <v>1</v>
      </c>
      <c r="H60" t="s">
        <v>219</v>
      </c>
      <c r="I60" t="s">
        <v>14</v>
      </c>
    </row>
    <row r="61" spans="1:9">
      <c r="A61">
        <v>181</v>
      </c>
      <c r="B61" t="s">
        <v>211</v>
      </c>
      <c r="C61" t="s">
        <v>220</v>
      </c>
      <c r="D61" t="s">
        <v>221</v>
      </c>
      <c r="E61" t="s">
        <v>222</v>
      </c>
      <c r="F61">
        <v>2</v>
      </c>
      <c r="G61">
        <v>2</v>
      </c>
      <c r="H61" t="s">
        <v>223</v>
      </c>
      <c r="I61" t="s">
        <v>14</v>
      </c>
    </row>
    <row r="62" spans="1:9">
      <c r="A62">
        <v>184</v>
      </c>
      <c r="B62" t="s">
        <v>211</v>
      </c>
      <c r="C62" t="s">
        <v>224</v>
      </c>
      <c r="D62" t="s">
        <v>225</v>
      </c>
      <c r="E62" t="s">
        <v>226</v>
      </c>
      <c r="F62">
        <v>1</v>
      </c>
      <c r="G62">
        <v>1</v>
      </c>
      <c r="H62" t="s">
        <v>227</v>
      </c>
      <c r="I62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E6A1-2687-7F4E-B796-2CBAFFF78F4A}">
  <dimension ref="A1:I52"/>
  <sheetViews>
    <sheetView topLeftCell="A26" workbookViewId="0">
      <selection activeCell="E47" sqref="E47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 t="s">
        <v>9</v>
      </c>
      <c r="C2" t="s">
        <v>10</v>
      </c>
      <c r="D2" t="s">
        <v>11</v>
      </c>
      <c r="E2" t="s">
        <v>255</v>
      </c>
      <c r="F2">
        <v>24</v>
      </c>
      <c r="G2">
        <v>165</v>
      </c>
      <c r="H2" t="s">
        <v>13</v>
      </c>
      <c r="I2" t="s">
        <v>14</v>
      </c>
    </row>
    <row r="3" spans="1:9">
      <c r="A3">
        <v>6</v>
      </c>
      <c r="B3" t="s">
        <v>9</v>
      </c>
      <c r="C3" t="s">
        <v>15</v>
      </c>
      <c r="D3" t="s">
        <v>16</v>
      </c>
      <c r="E3" t="s">
        <v>256</v>
      </c>
      <c r="F3">
        <v>18</v>
      </c>
      <c r="G3">
        <v>88</v>
      </c>
      <c r="H3" t="s">
        <v>18</v>
      </c>
      <c r="I3" t="s">
        <v>14</v>
      </c>
    </row>
    <row r="4" spans="1:9">
      <c r="A4">
        <v>22</v>
      </c>
      <c r="B4" t="s">
        <v>19</v>
      </c>
      <c r="C4" t="s">
        <v>20</v>
      </c>
      <c r="D4" t="s">
        <v>21</v>
      </c>
      <c r="E4" t="s">
        <v>257</v>
      </c>
      <c r="F4">
        <v>38</v>
      </c>
      <c r="G4">
        <v>1044</v>
      </c>
      <c r="H4" t="s">
        <v>23</v>
      </c>
      <c r="I4" t="s">
        <v>14</v>
      </c>
    </row>
    <row r="5" spans="1:9">
      <c r="A5">
        <v>31</v>
      </c>
      <c r="B5" t="s">
        <v>24</v>
      </c>
      <c r="C5" t="s">
        <v>25</v>
      </c>
      <c r="D5" t="s">
        <v>26</v>
      </c>
      <c r="E5" t="s">
        <v>258</v>
      </c>
      <c r="F5">
        <v>11</v>
      </c>
      <c r="G5">
        <v>31</v>
      </c>
      <c r="H5" t="s">
        <v>28</v>
      </c>
      <c r="I5" t="s">
        <v>14</v>
      </c>
    </row>
    <row r="6" spans="1:9">
      <c r="A6">
        <v>33</v>
      </c>
      <c r="B6" t="s">
        <v>29</v>
      </c>
      <c r="C6" t="s">
        <v>30</v>
      </c>
      <c r="D6" t="s">
        <v>31</v>
      </c>
      <c r="E6" t="s">
        <v>228</v>
      </c>
      <c r="F6">
        <v>10</v>
      </c>
      <c r="G6">
        <v>23</v>
      </c>
      <c r="H6" t="s">
        <v>33</v>
      </c>
      <c r="I6" t="s">
        <v>14</v>
      </c>
    </row>
    <row r="7" spans="1:9">
      <c r="A7">
        <v>34</v>
      </c>
      <c r="B7" t="s">
        <v>29</v>
      </c>
      <c r="C7" t="s">
        <v>34</v>
      </c>
      <c r="D7" t="s">
        <v>35</v>
      </c>
      <c r="E7" t="s">
        <v>36</v>
      </c>
      <c r="F7">
        <v>1</v>
      </c>
      <c r="G7">
        <v>4</v>
      </c>
      <c r="H7" t="s">
        <v>37</v>
      </c>
      <c r="I7" t="s">
        <v>14</v>
      </c>
    </row>
    <row r="8" spans="1:9">
      <c r="A8">
        <v>35</v>
      </c>
      <c r="B8" t="s">
        <v>29</v>
      </c>
      <c r="C8" t="s">
        <v>34</v>
      </c>
      <c r="D8" t="s">
        <v>38</v>
      </c>
      <c r="E8" t="s">
        <v>259</v>
      </c>
      <c r="F8">
        <v>27</v>
      </c>
      <c r="G8">
        <v>228</v>
      </c>
      <c r="H8" t="s">
        <v>40</v>
      </c>
      <c r="I8" t="s">
        <v>14</v>
      </c>
    </row>
    <row r="9" spans="1:9">
      <c r="A9">
        <v>36</v>
      </c>
      <c r="B9" t="s">
        <v>29</v>
      </c>
      <c r="C9" t="s">
        <v>41</v>
      </c>
      <c r="D9" t="s">
        <v>42</v>
      </c>
      <c r="E9" t="s">
        <v>260</v>
      </c>
      <c r="F9">
        <v>9</v>
      </c>
      <c r="G9">
        <v>11</v>
      </c>
      <c r="H9" t="s">
        <v>44</v>
      </c>
      <c r="I9" t="s">
        <v>14</v>
      </c>
    </row>
    <row r="10" spans="1:9">
      <c r="A10">
        <v>39</v>
      </c>
      <c r="B10" t="s">
        <v>29</v>
      </c>
      <c r="C10" t="s">
        <v>45</v>
      </c>
      <c r="D10" t="s">
        <v>46</v>
      </c>
      <c r="E10" t="s">
        <v>229</v>
      </c>
      <c r="F10">
        <v>15</v>
      </c>
      <c r="G10">
        <v>143</v>
      </c>
      <c r="H10" t="s">
        <v>48</v>
      </c>
      <c r="I10" t="s">
        <v>14</v>
      </c>
    </row>
    <row r="11" spans="1:9">
      <c r="A11">
        <v>41</v>
      </c>
      <c r="B11" t="s">
        <v>29</v>
      </c>
      <c r="C11" t="s">
        <v>49</v>
      </c>
      <c r="D11" t="s">
        <v>50</v>
      </c>
      <c r="E11" t="s">
        <v>261</v>
      </c>
      <c r="F11">
        <v>18</v>
      </c>
      <c r="G11">
        <v>60</v>
      </c>
      <c r="H11" t="s">
        <v>52</v>
      </c>
      <c r="I11" t="s">
        <v>14</v>
      </c>
    </row>
    <row r="12" spans="1:9">
      <c r="A12">
        <v>43</v>
      </c>
      <c r="B12" t="s">
        <v>29</v>
      </c>
      <c r="C12" t="s">
        <v>30</v>
      </c>
      <c r="D12" t="s">
        <v>53</v>
      </c>
      <c r="E12" t="s">
        <v>230</v>
      </c>
      <c r="F12">
        <v>9</v>
      </c>
      <c r="G12">
        <v>26</v>
      </c>
      <c r="H12" t="s">
        <v>55</v>
      </c>
      <c r="I12" t="s">
        <v>14</v>
      </c>
    </row>
    <row r="13" spans="1:9">
      <c r="A13">
        <v>45</v>
      </c>
      <c r="B13" t="s">
        <v>29</v>
      </c>
      <c r="C13" t="s">
        <v>34</v>
      </c>
      <c r="D13" t="s">
        <v>56</v>
      </c>
      <c r="E13" t="s">
        <v>262</v>
      </c>
      <c r="F13">
        <v>2</v>
      </c>
      <c r="G13">
        <v>17</v>
      </c>
      <c r="H13" t="s">
        <v>58</v>
      </c>
      <c r="I13" t="s">
        <v>14</v>
      </c>
    </row>
    <row r="14" spans="1:9">
      <c r="A14">
        <v>46</v>
      </c>
      <c r="B14" t="s">
        <v>29</v>
      </c>
      <c r="C14" t="s">
        <v>59</v>
      </c>
      <c r="D14" t="s">
        <v>60</v>
      </c>
      <c r="E14" t="s">
        <v>61</v>
      </c>
      <c r="F14">
        <v>1</v>
      </c>
      <c r="G14">
        <v>1</v>
      </c>
      <c r="H14" t="s">
        <v>62</v>
      </c>
      <c r="I14" t="s">
        <v>14</v>
      </c>
    </row>
    <row r="15" spans="1:9">
      <c r="A15">
        <v>47</v>
      </c>
      <c r="B15" t="s">
        <v>29</v>
      </c>
      <c r="C15" t="s">
        <v>45</v>
      </c>
      <c r="D15" t="s">
        <v>63</v>
      </c>
      <c r="E15" t="s">
        <v>263</v>
      </c>
      <c r="F15">
        <v>17</v>
      </c>
      <c r="G15">
        <v>24</v>
      </c>
      <c r="H15" t="s">
        <v>65</v>
      </c>
      <c r="I15" t="s">
        <v>14</v>
      </c>
    </row>
    <row r="16" spans="1:9">
      <c r="A16">
        <v>49</v>
      </c>
      <c r="B16" t="s">
        <v>29</v>
      </c>
      <c r="C16" t="s">
        <v>45</v>
      </c>
      <c r="D16" t="s">
        <v>66</v>
      </c>
      <c r="E16" t="s">
        <v>264</v>
      </c>
      <c r="F16">
        <v>19</v>
      </c>
      <c r="G16">
        <v>162</v>
      </c>
      <c r="H16" t="s">
        <v>68</v>
      </c>
      <c r="I16" t="s">
        <v>14</v>
      </c>
    </row>
    <row r="17" spans="1:9">
      <c r="A17">
        <v>50</v>
      </c>
      <c r="B17" t="s">
        <v>29</v>
      </c>
      <c r="C17" t="s">
        <v>69</v>
      </c>
      <c r="D17" t="s">
        <v>70</v>
      </c>
      <c r="E17" t="s">
        <v>265</v>
      </c>
      <c r="F17">
        <v>18</v>
      </c>
      <c r="G17">
        <v>126</v>
      </c>
      <c r="H17" t="s">
        <v>72</v>
      </c>
      <c r="I17" t="s">
        <v>14</v>
      </c>
    </row>
    <row r="18" spans="1:9">
      <c r="A18">
        <v>51</v>
      </c>
      <c r="B18" t="s">
        <v>29</v>
      </c>
      <c r="C18" t="s">
        <v>49</v>
      </c>
      <c r="D18" t="s">
        <v>73</v>
      </c>
      <c r="E18" t="s">
        <v>266</v>
      </c>
      <c r="F18">
        <v>32</v>
      </c>
      <c r="G18">
        <v>209</v>
      </c>
      <c r="H18" t="s">
        <v>75</v>
      </c>
      <c r="I18" t="s">
        <v>14</v>
      </c>
    </row>
    <row r="19" spans="1:9">
      <c r="A19">
        <v>52</v>
      </c>
      <c r="B19" t="s">
        <v>29</v>
      </c>
      <c r="C19" t="s">
        <v>49</v>
      </c>
      <c r="D19" t="s">
        <v>76</v>
      </c>
      <c r="E19" t="s">
        <v>267</v>
      </c>
      <c r="F19">
        <v>23</v>
      </c>
      <c r="G19">
        <v>26</v>
      </c>
      <c r="H19" t="s">
        <v>77</v>
      </c>
      <c r="I19" t="s">
        <v>14</v>
      </c>
    </row>
    <row r="20" spans="1:9">
      <c r="A20">
        <v>66</v>
      </c>
      <c r="B20" t="s">
        <v>29</v>
      </c>
      <c r="C20" t="s">
        <v>49</v>
      </c>
      <c r="D20" t="s">
        <v>78</v>
      </c>
      <c r="E20" t="s">
        <v>268</v>
      </c>
      <c r="F20">
        <v>27</v>
      </c>
      <c r="G20">
        <v>244</v>
      </c>
      <c r="H20" t="s">
        <v>80</v>
      </c>
      <c r="I20" t="s">
        <v>14</v>
      </c>
    </row>
    <row r="21" spans="1:9">
      <c r="A21">
        <v>70</v>
      </c>
      <c r="B21" t="s">
        <v>81</v>
      </c>
      <c r="C21" t="s">
        <v>45</v>
      </c>
      <c r="D21" t="s">
        <v>87</v>
      </c>
      <c r="E21" t="s">
        <v>269</v>
      </c>
      <c r="F21">
        <v>9</v>
      </c>
      <c r="G21">
        <v>26</v>
      </c>
      <c r="H21" t="s">
        <v>89</v>
      </c>
      <c r="I21" t="s">
        <v>14</v>
      </c>
    </row>
    <row r="22" spans="1:9">
      <c r="A22">
        <v>86</v>
      </c>
      <c r="B22" t="s">
        <v>104</v>
      </c>
      <c r="C22" t="s">
        <v>105</v>
      </c>
      <c r="D22" t="s">
        <v>106</v>
      </c>
      <c r="E22" t="s">
        <v>270</v>
      </c>
      <c r="F22">
        <v>13</v>
      </c>
      <c r="G22">
        <v>230</v>
      </c>
      <c r="H22" t="s">
        <v>108</v>
      </c>
      <c r="I22" t="s">
        <v>14</v>
      </c>
    </row>
    <row r="23" spans="1:9">
      <c r="A23">
        <v>94</v>
      </c>
      <c r="B23" t="s">
        <v>104</v>
      </c>
      <c r="C23" t="s">
        <v>109</v>
      </c>
      <c r="D23" t="s">
        <v>110</v>
      </c>
      <c r="E23" t="s">
        <v>271</v>
      </c>
      <c r="F23">
        <v>18</v>
      </c>
      <c r="G23">
        <v>64</v>
      </c>
      <c r="H23" t="s">
        <v>112</v>
      </c>
      <c r="I23" t="s">
        <v>14</v>
      </c>
    </row>
    <row r="24" spans="1:9">
      <c r="A24">
        <v>98</v>
      </c>
      <c r="B24" t="s">
        <v>113</v>
      </c>
      <c r="C24" t="s">
        <v>114</v>
      </c>
      <c r="D24" t="s">
        <v>115</v>
      </c>
      <c r="E24" t="s">
        <v>272</v>
      </c>
      <c r="F24">
        <v>10</v>
      </c>
      <c r="G24">
        <v>10</v>
      </c>
      <c r="H24" t="s">
        <v>117</v>
      </c>
      <c r="I24" t="s">
        <v>14</v>
      </c>
    </row>
    <row r="25" spans="1:9">
      <c r="A25">
        <v>102</v>
      </c>
      <c r="B25" t="s">
        <v>118</v>
      </c>
      <c r="C25" t="s">
        <v>119</v>
      </c>
      <c r="D25" t="s">
        <v>120</v>
      </c>
      <c r="E25" t="s">
        <v>43</v>
      </c>
      <c r="F25">
        <v>0</v>
      </c>
      <c r="G25">
        <v>0</v>
      </c>
      <c r="H25" t="s">
        <v>121</v>
      </c>
      <c r="I25" t="s">
        <v>122</v>
      </c>
    </row>
    <row r="26" spans="1:9">
      <c r="A26">
        <v>103</v>
      </c>
      <c r="B26" t="s">
        <v>118</v>
      </c>
      <c r="C26" t="s">
        <v>119</v>
      </c>
      <c r="D26" t="s">
        <v>123</v>
      </c>
      <c r="E26" t="s">
        <v>43</v>
      </c>
      <c r="F26">
        <v>0</v>
      </c>
      <c r="G26">
        <v>0</v>
      </c>
      <c r="H26" t="s">
        <v>124</v>
      </c>
      <c r="I26" t="s">
        <v>122</v>
      </c>
    </row>
    <row r="27" spans="1:9">
      <c r="A27">
        <v>104</v>
      </c>
      <c r="B27" t="s">
        <v>118</v>
      </c>
      <c r="C27" t="s">
        <v>119</v>
      </c>
      <c r="D27" t="s">
        <v>125</v>
      </c>
      <c r="E27" t="s">
        <v>43</v>
      </c>
      <c r="F27">
        <v>0</v>
      </c>
      <c r="G27">
        <v>0</v>
      </c>
      <c r="H27" t="s">
        <v>126</v>
      </c>
      <c r="I27" t="s">
        <v>122</v>
      </c>
    </row>
    <row r="28" spans="1:9">
      <c r="A28">
        <v>106</v>
      </c>
      <c r="B28" t="s">
        <v>127</v>
      </c>
      <c r="C28" t="s">
        <v>128</v>
      </c>
      <c r="D28" t="s">
        <v>129</v>
      </c>
      <c r="E28" t="s">
        <v>43</v>
      </c>
      <c r="F28">
        <v>0</v>
      </c>
      <c r="G28">
        <v>0</v>
      </c>
      <c r="H28" t="s">
        <v>130</v>
      </c>
      <c r="I28" t="s">
        <v>122</v>
      </c>
    </row>
    <row r="29" spans="1:9">
      <c r="A29">
        <v>110</v>
      </c>
      <c r="B29" t="s">
        <v>135</v>
      </c>
      <c r="C29" t="s">
        <v>136</v>
      </c>
      <c r="D29" t="s">
        <v>137</v>
      </c>
      <c r="E29" t="s">
        <v>231</v>
      </c>
      <c r="F29">
        <v>11</v>
      </c>
      <c r="G29">
        <v>79</v>
      </c>
      <c r="H29" t="s">
        <v>139</v>
      </c>
      <c r="I29" t="s">
        <v>14</v>
      </c>
    </row>
    <row r="30" spans="1:9">
      <c r="A30">
        <v>111</v>
      </c>
      <c r="B30" t="s">
        <v>135</v>
      </c>
      <c r="C30" t="s">
        <v>136</v>
      </c>
      <c r="D30" t="s">
        <v>140</v>
      </c>
      <c r="E30" t="s">
        <v>273</v>
      </c>
      <c r="F30">
        <v>2</v>
      </c>
      <c r="G30">
        <v>2</v>
      </c>
      <c r="H30" t="s">
        <v>141</v>
      </c>
      <c r="I30" t="s">
        <v>14</v>
      </c>
    </row>
    <row r="31" spans="1:9">
      <c r="A31">
        <v>113</v>
      </c>
      <c r="B31" t="s">
        <v>135</v>
      </c>
      <c r="C31" t="s">
        <v>144</v>
      </c>
      <c r="D31" t="s">
        <v>145</v>
      </c>
      <c r="E31" t="s">
        <v>232</v>
      </c>
      <c r="F31">
        <v>5</v>
      </c>
      <c r="G31">
        <v>10</v>
      </c>
      <c r="H31" t="s">
        <v>147</v>
      </c>
      <c r="I31" t="s">
        <v>14</v>
      </c>
    </row>
    <row r="32" spans="1:9">
      <c r="A32">
        <v>114</v>
      </c>
      <c r="B32" t="s">
        <v>135</v>
      </c>
      <c r="C32" t="s">
        <v>45</v>
      </c>
      <c r="D32" t="s">
        <v>148</v>
      </c>
      <c r="E32" t="s">
        <v>233</v>
      </c>
      <c r="F32">
        <v>15</v>
      </c>
      <c r="G32">
        <v>15</v>
      </c>
      <c r="H32" t="s">
        <v>150</v>
      </c>
      <c r="I32" t="s">
        <v>14</v>
      </c>
    </row>
    <row r="33" spans="1:9">
      <c r="A33">
        <v>115</v>
      </c>
      <c r="B33" t="s">
        <v>135</v>
      </c>
      <c r="C33" t="s">
        <v>45</v>
      </c>
      <c r="D33" t="s">
        <v>151</v>
      </c>
      <c r="E33" t="s">
        <v>274</v>
      </c>
      <c r="F33">
        <v>2</v>
      </c>
      <c r="G33">
        <v>2</v>
      </c>
      <c r="H33" t="s">
        <v>153</v>
      </c>
      <c r="I33" t="s">
        <v>14</v>
      </c>
    </row>
    <row r="34" spans="1:9">
      <c r="A34">
        <v>116</v>
      </c>
      <c r="B34" t="s">
        <v>135</v>
      </c>
      <c r="C34" t="s">
        <v>154</v>
      </c>
      <c r="D34" t="s">
        <v>155</v>
      </c>
      <c r="E34" t="s">
        <v>234</v>
      </c>
      <c r="F34">
        <v>8</v>
      </c>
      <c r="G34">
        <v>15</v>
      </c>
      <c r="H34" t="s">
        <v>157</v>
      </c>
      <c r="I34" t="s">
        <v>14</v>
      </c>
    </row>
    <row r="35" spans="1:9">
      <c r="A35">
        <v>117</v>
      </c>
      <c r="B35" t="s">
        <v>135</v>
      </c>
      <c r="C35" t="s">
        <v>154</v>
      </c>
      <c r="D35" t="s">
        <v>158</v>
      </c>
      <c r="E35" t="s">
        <v>235</v>
      </c>
      <c r="F35">
        <v>14</v>
      </c>
      <c r="G35">
        <v>28</v>
      </c>
      <c r="H35" t="s">
        <v>160</v>
      </c>
      <c r="I35" t="s">
        <v>14</v>
      </c>
    </row>
    <row r="36" spans="1:9">
      <c r="A36">
        <v>118</v>
      </c>
      <c r="B36" t="s">
        <v>135</v>
      </c>
      <c r="C36" t="s">
        <v>161</v>
      </c>
      <c r="D36" t="s">
        <v>162</v>
      </c>
      <c r="E36" t="s">
        <v>275</v>
      </c>
      <c r="F36">
        <v>19</v>
      </c>
      <c r="G36">
        <v>34</v>
      </c>
      <c r="H36" t="s">
        <v>164</v>
      </c>
      <c r="I36" t="s">
        <v>14</v>
      </c>
    </row>
    <row r="37" spans="1:9">
      <c r="A37">
        <v>119</v>
      </c>
      <c r="B37" t="s">
        <v>135</v>
      </c>
      <c r="C37" t="s">
        <v>136</v>
      </c>
      <c r="D37" t="s">
        <v>165</v>
      </c>
      <c r="E37" t="s">
        <v>276</v>
      </c>
      <c r="F37">
        <v>10</v>
      </c>
      <c r="G37">
        <v>10</v>
      </c>
      <c r="H37" t="s">
        <v>167</v>
      </c>
      <c r="I37" t="s">
        <v>14</v>
      </c>
    </row>
    <row r="38" spans="1:9">
      <c r="A38">
        <v>121</v>
      </c>
      <c r="B38" t="s">
        <v>135</v>
      </c>
      <c r="C38" t="s">
        <v>144</v>
      </c>
      <c r="D38" t="s">
        <v>168</v>
      </c>
      <c r="E38" t="s">
        <v>236</v>
      </c>
      <c r="F38">
        <v>2</v>
      </c>
      <c r="G38">
        <v>2</v>
      </c>
      <c r="H38" t="s">
        <v>170</v>
      </c>
      <c r="I38" t="s">
        <v>14</v>
      </c>
    </row>
    <row r="39" spans="1:9">
      <c r="A39">
        <v>122</v>
      </c>
      <c r="B39" t="s">
        <v>135</v>
      </c>
      <c r="C39" t="s">
        <v>144</v>
      </c>
      <c r="D39" t="s">
        <v>171</v>
      </c>
      <c r="E39" t="s">
        <v>237</v>
      </c>
      <c r="F39">
        <v>3</v>
      </c>
      <c r="G39">
        <v>6</v>
      </c>
      <c r="H39" t="s">
        <v>173</v>
      </c>
      <c r="I39" t="s">
        <v>14</v>
      </c>
    </row>
    <row r="40" spans="1:9">
      <c r="A40">
        <v>123</v>
      </c>
      <c r="B40" t="s">
        <v>135</v>
      </c>
      <c r="C40" t="s">
        <v>154</v>
      </c>
      <c r="D40" t="s">
        <v>174</v>
      </c>
      <c r="E40" t="s">
        <v>238</v>
      </c>
      <c r="F40">
        <v>11</v>
      </c>
      <c r="G40">
        <v>11</v>
      </c>
      <c r="H40" t="s">
        <v>176</v>
      </c>
      <c r="I40" t="s">
        <v>14</v>
      </c>
    </row>
    <row r="41" spans="1:9">
      <c r="A41">
        <v>124</v>
      </c>
      <c r="B41" t="s">
        <v>135</v>
      </c>
      <c r="C41" t="s">
        <v>177</v>
      </c>
      <c r="D41" t="s">
        <v>178</v>
      </c>
      <c r="E41" t="s">
        <v>179</v>
      </c>
      <c r="F41">
        <v>1</v>
      </c>
      <c r="G41">
        <v>2</v>
      </c>
      <c r="H41" t="s">
        <v>180</v>
      </c>
      <c r="I41" t="s">
        <v>14</v>
      </c>
    </row>
    <row r="42" spans="1:9">
      <c r="A42">
        <v>126</v>
      </c>
      <c r="B42" t="s">
        <v>135</v>
      </c>
      <c r="C42" t="s">
        <v>136</v>
      </c>
      <c r="D42" t="s">
        <v>181</v>
      </c>
      <c r="E42" t="s">
        <v>43</v>
      </c>
      <c r="F42">
        <v>0</v>
      </c>
      <c r="G42">
        <v>0</v>
      </c>
      <c r="H42" t="s">
        <v>182</v>
      </c>
      <c r="I42" t="s">
        <v>14</v>
      </c>
    </row>
    <row r="43" spans="1:9">
      <c r="A43">
        <v>127</v>
      </c>
      <c r="B43" t="s">
        <v>135</v>
      </c>
      <c r="C43" t="s">
        <v>183</v>
      </c>
      <c r="D43" t="s">
        <v>184</v>
      </c>
      <c r="E43" t="s">
        <v>277</v>
      </c>
      <c r="F43">
        <v>5</v>
      </c>
      <c r="G43">
        <v>5</v>
      </c>
      <c r="H43" t="s">
        <v>186</v>
      </c>
      <c r="I43" t="s">
        <v>14</v>
      </c>
    </row>
    <row r="44" spans="1:9">
      <c r="A44">
        <v>135</v>
      </c>
      <c r="B44" t="s">
        <v>193</v>
      </c>
      <c r="C44" t="s">
        <v>194</v>
      </c>
      <c r="D44" t="s">
        <v>195</v>
      </c>
      <c r="E44" t="s">
        <v>43</v>
      </c>
      <c r="F44">
        <v>0</v>
      </c>
      <c r="G44">
        <v>0</v>
      </c>
      <c r="H44" t="s">
        <v>196</v>
      </c>
      <c r="I44" t="s">
        <v>122</v>
      </c>
    </row>
    <row r="45" spans="1:9">
      <c r="A45">
        <v>136</v>
      </c>
      <c r="B45" t="s">
        <v>197</v>
      </c>
      <c r="C45" t="s">
        <v>198</v>
      </c>
      <c r="D45" t="s">
        <v>199</v>
      </c>
      <c r="E45" t="s">
        <v>43</v>
      </c>
      <c r="F45">
        <v>0</v>
      </c>
      <c r="G45">
        <v>0</v>
      </c>
      <c r="H45" t="s">
        <v>200</v>
      </c>
      <c r="I45" t="s">
        <v>122</v>
      </c>
    </row>
    <row r="46" spans="1:9">
      <c r="A46">
        <v>137</v>
      </c>
      <c r="B46" t="s">
        <v>201</v>
      </c>
      <c r="C46" t="s">
        <v>202</v>
      </c>
      <c r="D46" t="s">
        <v>203</v>
      </c>
      <c r="E46" t="s">
        <v>239</v>
      </c>
      <c r="F46">
        <v>10</v>
      </c>
      <c r="G46">
        <v>151</v>
      </c>
      <c r="H46" t="s">
        <v>205</v>
      </c>
      <c r="I46" t="s">
        <v>14</v>
      </c>
    </row>
    <row r="47" spans="1:9">
      <c r="A47">
        <v>142</v>
      </c>
      <c r="B47" t="s">
        <v>206</v>
      </c>
      <c r="C47" t="s">
        <v>207</v>
      </c>
      <c r="D47" t="s">
        <v>208</v>
      </c>
      <c r="E47" t="s">
        <v>278</v>
      </c>
      <c r="F47">
        <v>34</v>
      </c>
      <c r="G47">
        <v>340</v>
      </c>
      <c r="H47" t="s">
        <v>210</v>
      </c>
      <c r="I47" t="s">
        <v>14</v>
      </c>
    </row>
    <row r="48" spans="1:9">
      <c r="A48">
        <v>175</v>
      </c>
      <c r="B48" t="s">
        <v>211</v>
      </c>
      <c r="C48" t="s">
        <v>212</v>
      </c>
      <c r="D48" t="s">
        <v>115</v>
      </c>
      <c r="E48" t="s">
        <v>43</v>
      </c>
      <c r="F48">
        <v>0</v>
      </c>
      <c r="G48">
        <v>0</v>
      </c>
      <c r="H48" t="s">
        <v>213</v>
      </c>
      <c r="I48" t="s">
        <v>14</v>
      </c>
    </row>
    <row r="49" spans="1:9">
      <c r="A49">
        <v>177</v>
      </c>
      <c r="B49" t="s">
        <v>211</v>
      </c>
      <c r="C49" t="s">
        <v>212</v>
      </c>
      <c r="D49" t="s">
        <v>214</v>
      </c>
      <c r="E49" t="s">
        <v>279</v>
      </c>
      <c r="F49">
        <v>11</v>
      </c>
      <c r="G49">
        <v>11</v>
      </c>
      <c r="H49" t="s">
        <v>215</v>
      </c>
      <c r="I49" t="s">
        <v>14</v>
      </c>
    </row>
    <row r="50" spans="1:9">
      <c r="A50">
        <v>179</v>
      </c>
      <c r="B50" t="s">
        <v>211</v>
      </c>
      <c r="C50" t="s">
        <v>216</v>
      </c>
      <c r="D50" t="s">
        <v>217</v>
      </c>
      <c r="E50" t="s">
        <v>280</v>
      </c>
      <c r="F50">
        <v>15</v>
      </c>
      <c r="G50">
        <v>15</v>
      </c>
      <c r="H50" t="s">
        <v>219</v>
      </c>
      <c r="I50" t="s">
        <v>14</v>
      </c>
    </row>
    <row r="51" spans="1:9">
      <c r="A51">
        <v>181</v>
      </c>
      <c r="B51" t="s">
        <v>211</v>
      </c>
      <c r="C51" t="s">
        <v>220</v>
      </c>
      <c r="D51" t="s">
        <v>221</v>
      </c>
      <c r="E51" t="s">
        <v>281</v>
      </c>
      <c r="F51">
        <v>3</v>
      </c>
      <c r="G51">
        <v>4</v>
      </c>
      <c r="H51" t="s">
        <v>223</v>
      </c>
      <c r="I51" t="s">
        <v>14</v>
      </c>
    </row>
    <row r="52" spans="1:9">
      <c r="A52">
        <v>184</v>
      </c>
      <c r="B52" t="s">
        <v>211</v>
      </c>
      <c r="C52" t="s">
        <v>224</v>
      </c>
      <c r="D52" t="s">
        <v>225</v>
      </c>
      <c r="E52" t="s">
        <v>240</v>
      </c>
      <c r="F52">
        <v>4</v>
      </c>
      <c r="G52">
        <v>5</v>
      </c>
      <c r="H52" t="s">
        <v>227</v>
      </c>
      <c r="I5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Comparison</vt:lpstr>
      <vt:lpstr>Joey</vt:lpstr>
      <vt:lpstr>Xinyi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Xinyi</dc:creator>
  <cp:lastModifiedBy>Qiu, Xinyi</cp:lastModifiedBy>
  <dcterms:created xsi:type="dcterms:W3CDTF">2021-12-09T20:47:55Z</dcterms:created>
  <dcterms:modified xsi:type="dcterms:W3CDTF">2021-12-10T02:48:35Z</dcterms:modified>
</cp:coreProperties>
</file>