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han\source\repos\jayanthkundety\RAMMS2.0\RAMS\Web\RAMMS.Web.UI\wwwroot\Templates\"/>
    </mc:Choice>
  </mc:AlternateContent>
  <bookViews>
    <workbookView xWindow="-120" yWindow="-120" windowWidth="28920" windowHeight="12700" tabRatio="769"/>
  </bookViews>
  <sheets>
    <sheet name="B12" sheetId="14" r:id="rId1"/>
    <sheet name="B13" sheetId="18" state="hidden" r:id="rId2"/>
    <sheet name="ICA COMPARISON NIAH" sheetId="45" state="hidden" r:id="rId3"/>
    <sheet name="ICA COMPARISON MIRI" sheetId="46" state="hidden" r:id="rId4"/>
  </sheets>
  <externalReferences>
    <externalReference r:id="rId5"/>
  </externalReferences>
  <definedNames>
    <definedName name="_xlnm.Print_Area" localSheetId="0">'B12'!$A$1:$G$41</definedName>
    <definedName name="_xlnm.Print_Area" localSheetId="1">'B13'!$A$1:$AF$56</definedName>
    <definedName name="_xlnm.Print_Area" localSheetId="3">'ICA COMPARISON MIRI'!$A$1:$AP$56</definedName>
    <definedName name="_xlnm.Print_Area" localSheetId="2">'ICA COMPARISON NIAH'!$A$1:$AP$57</definedName>
    <definedName name="_xlnm.Print_Titles" localSheetId="0">'B12'!$A:$D</definedName>
    <definedName name="solver_adj" localSheetId="1" hidden="1">'B13'!#REF!</definedName>
    <definedName name="solver_adj" localSheetId="3" hidden="1">'ICA COMPARISON MIRI'!#REF!</definedName>
    <definedName name="solver_adj" localSheetId="2" hidden="1">'ICA COMPARISON NIAH'!#REF!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drv" localSheetId="1" hidden="1">1</definedName>
    <definedName name="solver_drv" localSheetId="3" hidden="1">1</definedName>
    <definedName name="solver_drv" localSheetId="2" hidden="1">1</definedName>
    <definedName name="solver_eng" localSheetId="1" hidden="1">1</definedName>
    <definedName name="solver_eng" localSheetId="3" hidden="1">1</definedName>
    <definedName name="solver_eng" localSheetId="2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lhs1" localSheetId="1" hidden="1">'B13'!#REF!</definedName>
    <definedName name="solver_lhs1" localSheetId="3" hidden="1">'ICA COMPARISON MIRI'!#REF!</definedName>
    <definedName name="solver_lhs1" localSheetId="2" hidden="1">'ICA COMPARISON NIAH'!#REF!</definedName>
    <definedName name="solver_lhs2" localSheetId="1" hidden="1">'B13'!#REF!</definedName>
    <definedName name="solver_lhs2" localSheetId="3" hidden="1">'ICA COMPARISON MIRI'!#REF!</definedName>
    <definedName name="solver_lhs2" localSheetId="2" hidden="1">'ICA COMPARISON NIAH'!#REF!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neg" localSheetId="1" hidden="1">2</definedName>
    <definedName name="solver_neg" localSheetId="3" hidden="1">2</definedName>
    <definedName name="solver_neg" localSheetId="2" hidden="1">2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um" localSheetId="1" hidden="1">0</definedName>
    <definedName name="solver_num" localSheetId="3" hidden="1">0</definedName>
    <definedName name="solver_num" localSheetId="2" hidden="1">0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opt" localSheetId="1" hidden="1">'B13'!#REF!</definedName>
    <definedName name="solver_opt" localSheetId="3" hidden="1">'ICA COMPARISON MIRI'!#REF!</definedName>
    <definedName name="solver_opt" localSheetId="2" hidden="1">'ICA COMPARISON NIAH'!#REF!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rbv" localSheetId="1" hidden="1">1</definedName>
    <definedName name="solver_rbv" localSheetId="3" hidden="1">1</definedName>
    <definedName name="solver_rbv" localSheetId="2" hidden="1">1</definedName>
    <definedName name="solver_rel1" localSheetId="1" hidden="1">2</definedName>
    <definedName name="solver_rel1" localSheetId="3" hidden="1">2</definedName>
    <definedName name="solver_rel1" localSheetId="2" hidden="1">2</definedName>
    <definedName name="solver_rel2" localSheetId="1" hidden="1">2</definedName>
    <definedName name="solver_rel2" localSheetId="3" hidden="1">2</definedName>
    <definedName name="solver_rel2" localSheetId="2" hidden="1">2</definedName>
    <definedName name="solver_rhs1" localSheetId="1" hidden="1">0</definedName>
    <definedName name="solver_rhs1" localSheetId="3" hidden="1">0</definedName>
    <definedName name="solver_rhs1" localSheetId="2" hidden="1">0</definedName>
    <definedName name="solver_rhs2" localSheetId="1" hidden="1">0</definedName>
    <definedName name="solver_rhs2" localSheetId="3" hidden="1">0</definedName>
    <definedName name="solver_rhs2" localSheetId="2" hidden="1">0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scl" localSheetId="1" hidden="1">1</definedName>
    <definedName name="solver_scl" localSheetId="3" hidden="1">1</definedName>
    <definedName name="solver_scl" localSheetId="2" hidden="1">1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ol" localSheetId="1" hidden="1">0.01</definedName>
    <definedName name="solver_tol" localSheetId="3" hidden="1">0.01</definedName>
    <definedName name="solver_tol" localSheetId="2" hidden="1">0.01</definedName>
    <definedName name="solver_typ" localSheetId="1" hidden="1">3</definedName>
    <definedName name="solver_typ" localSheetId="3" hidden="1">3</definedName>
    <definedName name="solver_typ" localSheetId="2" hidden="1">3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er" localSheetId="1" hidden="1">3</definedName>
    <definedName name="solver_ver" localSheetId="3" hidden="1">3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75" i="46" l="1"/>
  <c r="AX75" i="46"/>
  <c r="AX74" i="46"/>
  <c r="BD73" i="46"/>
  <c r="BD75" i="46" s="1"/>
  <c r="BB73" i="46"/>
  <c r="BB75" i="46" s="1"/>
  <c r="AX73" i="46"/>
  <c r="BC71" i="46"/>
  <c r="AT71" i="46"/>
  <c r="AT70" i="46"/>
  <c r="AT69" i="46"/>
  <c r="Y67" i="46"/>
  <c r="X66" i="46"/>
  <c r="BD65" i="46"/>
  <c r="BD64" i="46"/>
  <c r="X64" i="46"/>
  <c r="BD63" i="46"/>
  <c r="BD60" i="46"/>
  <c r="BC61" i="46" s="1"/>
  <c r="BC62" i="46" s="1"/>
  <c r="BC64" i="46" s="1"/>
  <c r="BD52" i="46"/>
  <c r="BB51" i="46"/>
  <c r="BE50" i="46"/>
  <c r="BB50" i="46"/>
  <c r="BD49" i="46"/>
  <c r="BC49" i="46"/>
  <c r="BB49" i="46"/>
  <c r="BB48" i="46"/>
  <c r="BE48" i="46" s="1"/>
  <c r="BE47" i="46"/>
  <c r="BD47" i="46"/>
  <c r="BC47" i="46"/>
  <c r="BB47" i="46"/>
  <c r="BE46" i="46"/>
  <c r="BD46" i="46"/>
  <c r="BC46" i="46"/>
  <c r="BB46" i="46"/>
  <c r="AF46" i="46"/>
  <c r="Y46" i="46"/>
  <c r="AA46" i="46" s="1"/>
  <c r="BD45" i="46"/>
  <c r="BC45" i="46"/>
  <c r="BC51" i="46" s="1"/>
  <c r="BB45" i="46"/>
  <c r="AF44" i="46"/>
  <c r="Z44" i="46"/>
  <c r="Y44" i="46"/>
  <c r="X44" i="46"/>
  <c r="AA44" i="46" s="1"/>
  <c r="T44" i="46"/>
  <c r="BE43" i="46"/>
  <c r="BD43" i="46"/>
  <c r="BC43" i="46"/>
  <c r="BB43" i="46"/>
  <c r="AF43" i="46"/>
  <c r="AA43" i="46"/>
  <c r="Z43" i="46"/>
  <c r="Y43" i="46"/>
  <c r="X43" i="46"/>
  <c r="T43" i="46"/>
  <c r="BD42" i="46"/>
  <c r="BC42" i="46"/>
  <c r="BB42" i="46"/>
  <c r="AF42" i="46"/>
  <c r="Z42" i="46"/>
  <c r="Y42" i="46"/>
  <c r="X42" i="46"/>
  <c r="T42" i="46"/>
  <c r="BD41" i="46"/>
  <c r="BC41" i="46"/>
  <c r="BB41" i="46"/>
  <c r="AF41" i="46"/>
  <c r="Z41" i="46"/>
  <c r="Y41" i="46"/>
  <c r="X41" i="46"/>
  <c r="AA41" i="46" s="1"/>
  <c r="T41" i="46"/>
  <c r="BE40" i="46"/>
  <c r="AI40" i="46"/>
  <c r="AF40" i="46"/>
  <c r="AA40" i="46"/>
  <c r="AB40" i="46" s="1"/>
  <c r="Z40" i="46"/>
  <c r="Y40" i="46"/>
  <c r="X40" i="46"/>
  <c r="T40" i="46"/>
  <c r="BD39" i="46"/>
  <c r="BE39" i="46" s="1"/>
  <c r="BC39" i="46"/>
  <c r="BB39" i="46"/>
  <c r="AF39" i="46"/>
  <c r="Z39" i="46"/>
  <c r="Y39" i="46"/>
  <c r="X39" i="46"/>
  <c r="AA39" i="46" s="1"/>
  <c r="T39" i="46"/>
  <c r="BQ38" i="46"/>
  <c r="BE38" i="46"/>
  <c r="AF38" i="46"/>
  <c r="AA38" i="46"/>
  <c r="Z38" i="46"/>
  <c r="Y38" i="46"/>
  <c r="X38" i="46"/>
  <c r="T38" i="46"/>
  <c r="BD37" i="46"/>
  <c r="BD44" i="46" s="1"/>
  <c r="AF37" i="46"/>
  <c r="Z37" i="46"/>
  <c r="AA37" i="46" s="1"/>
  <c r="Y37" i="46"/>
  <c r="X37" i="46"/>
  <c r="T37" i="46"/>
  <c r="BS36" i="46"/>
  <c r="BR36" i="46"/>
  <c r="BQ36" i="46"/>
  <c r="AS36" i="46"/>
  <c r="AF36" i="46"/>
  <c r="Z36" i="46"/>
  <c r="Y36" i="46"/>
  <c r="X36" i="46"/>
  <c r="AA36" i="46" s="1"/>
  <c r="AB36" i="46" s="1"/>
  <c r="T36" i="46"/>
  <c r="BD35" i="46"/>
  <c r="AF35" i="46"/>
  <c r="Z35" i="46"/>
  <c r="Y35" i="46"/>
  <c r="X35" i="46"/>
  <c r="T35" i="46"/>
  <c r="BS34" i="46"/>
  <c r="BR34" i="46"/>
  <c r="BQ34" i="46"/>
  <c r="BL34" i="46"/>
  <c r="BB34" i="46"/>
  <c r="BE34" i="46" s="1"/>
  <c r="AF34" i="46"/>
  <c r="AA34" i="46"/>
  <c r="Z34" i="46"/>
  <c r="Y34" i="46"/>
  <c r="X34" i="46"/>
  <c r="T34" i="46"/>
  <c r="BM33" i="46"/>
  <c r="BK33" i="46"/>
  <c r="BK35" i="46" s="1"/>
  <c r="BE33" i="46"/>
  <c r="BB33" i="46"/>
  <c r="AF33" i="46"/>
  <c r="Z33" i="46"/>
  <c r="Y33" i="46"/>
  <c r="X33" i="46"/>
  <c r="T33" i="46"/>
  <c r="BE32" i="46"/>
  <c r="BB32" i="46"/>
  <c r="AF32" i="46"/>
  <c r="Z32" i="46"/>
  <c r="Y32" i="46"/>
  <c r="X32" i="46"/>
  <c r="AA32" i="46" s="1"/>
  <c r="T32" i="46"/>
  <c r="BK31" i="46"/>
  <c r="BB31" i="46"/>
  <c r="BE31" i="46" s="1"/>
  <c r="AF31" i="46"/>
  <c r="Z31" i="46"/>
  <c r="Y31" i="46"/>
  <c r="X31" i="46"/>
  <c r="T31" i="46"/>
  <c r="BL30" i="46"/>
  <c r="BE30" i="46"/>
  <c r="BC30" i="46"/>
  <c r="BB30" i="46"/>
  <c r="AF30" i="46"/>
  <c r="AA30" i="46"/>
  <c r="Z30" i="46"/>
  <c r="Y30" i="46"/>
  <c r="X30" i="46"/>
  <c r="T30" i="46"/>
  <c r="BE29" i="46"/>
  <c r="BC29" i="46"/>
  <c r="BB29" i="46"/>
  <c r="AJ29" i="46"/>
  <c r="AF29" i="46"/>
  <c r="AB29" i="46"/>
  <c r="AA29" i="46"/>
  <c r="AI29" i="46" s="1"/>
  <c r="Y29" i="46"/>
  <c r="T29" i="46"/>
  <c r="BE28" i="46"/>
  <c r="BB28" i="46"/>
  <c r="AF28" i="46"/>
  <c r="Z28" i="46"/>
  <c r="Y28" i="46"/>
  <c r="X28" i="46"/>
  <c r="T28" i="46"/>
  <c r="BM27" i="46"/>
  <c r="BM31" i="46" s="1"/>
  <c r="BL27" i="46"/>
  <c r="BL31" i="46" s="1"/>
  <c r="BC27" i="46"/>
  <c r="BC35" i="46" s="1"/>
  <c r="BB27" i="46"/>
  <c r="BE27" i="46" s="1"/>
  <c r="AL27" i="46"/>
  <c r="AM27" i="46" s="1"/>
  <c r="AN27" i="46" s="1"/>
  <c r="AF27" i="46"/>
  <c r="AA27" i="46"/>
  <c r="Y27" i="46"/>
  <c r="X27" i="46"/>
  <c r="T27" i="46"/>
  <c r="BL26" i="46"/>
  <c r="BL33" i="46" s="1"/>
  <c r="BL35" i="46" s="1"/>
  <c r="BE26" i="46"/>
  <c r="BB26" i="46"/>
  <c r="AF26" i="46"/>
  <c r="AA26" i="46"/>
  <c r="Z26" i="46"/>
  <c r="Y26" i="46"/>
  <c r="X26" i="46"/>
  <c r="T26" i="46"/>
  <c r="BE25" i="46"/>
  <c r="BB25" i="46"/>
  <c r="AV25" i="46"/>
  <c r="AF25" i="46"/>
  <c r="Z25" i="46"/>
  <c r="Y25" i="46"/>
  <c r="X25" i="46"/>
  <c r="AA25" i="46" s="1"/>
  <c r="T25" i="46"/>
  <c r="AV24" i="46"/>
  <c r="AS24" i="46"/>
  <c r="AF24" i="46"/>
  <c r="Z24" i="46"/>
  <c r="Y24" i="46"/>
  <c r="X24" i="46"/>
  <c r="BE23" i="46"/>
  <c r="BB23" i="46"/>
  <c r="AV23" i="46"/>
  <c r="AU23" i="46"/>
  <c r="AT23" i="46"/>
  <c r="AS23" i="46"/>
  <c r="AF23" i="46"/>
  <c r="Z23" i="46"/>
  <c r="Y23" i="46"/>
  <c r="X23" i="46"/>
  <c r="BM22" i="46"/>
  <c r="BM23" i="46" s="1"/>
  <c r="BE22" i="46"/>
  <c r="BB22" i="46"/>
  <c r="AV22" i="46"/>
  <c r="AF22" i="46"/>
  <c r="Z22" i="46"/>
  <c r="AA22" i="46" s="1"/>
  <c r="Y22" i="46"/>
  <c r="X22" i="46"/>
  <c r="T22" i="46"/>
  <c r="BM21" i="46"/>
  <c r="BB21" i="46"/>
  <c r="BE21" i="46" s="1"/>
  <c r="AV21" i="46"/>
  <c r="AF21" i="46"/>
  <c r="AB21" i="46"/>
  <c r="Z21" i="46"/>
  <c r="Y21" i="46"/>
  <c r="X21" i="46"/>
  <c r="AA21" i="46" s="1"/>
  <c r="AI21" i="46" s="1"/>
  <c r="AJ21" i="46" s="1"/>
  <c r="T21" i="46"/>
  <c r="BM20" i="46"/>
  <c r="BB20" i="46"/>
  <c r="BE20" i="46" s="1"/>
  <c r="AU20" i="46"/>
  <c r="AT20" i="46"/>
  <c r="AS20" i="46"/>
  <c r="AF20" i="46"/>
  <c r="Z20" i="46"/>
  <c r="Y20" i="46"/>
  <c r="AA20" i="46" s="1"/>
  <c r="T20" i="46"/>
  <c r="BB19" i="46"/>
  <c r="BE19" i="46" s="1"/>
  <c r="AV19" i="46"/>
  <c r="AF19" i="46"/>
  <c r="Z19" i="46"/>
  <c r="Y19" i="46"/>
  <c r="X19" i="46"/>
  <c r="T19" i="46"/>
  <c r="BE18" i="46"/>
  <c r="BB18" i="46"/>
  <c r="AV18" i="46"/>
  <c r="AF18" i="46"/>
  <c r="Z18" i="46"/>
  <c r="Y18" i="46"/>
  <c r="X18" i="46"/>
  <c r="T18" i="46"/>
  <c r="BB17" i="46"/>
  <c r="BE17" i="46" s="1"/>
  <c r="AV17" i="46"/>
  <c r="AT17" i="46"/>
  <c r="AF17" i="46"/>
  <c r="AA17" i="46"/>
  <c r="Z17" i="46"/>
  <c r="Y17" i="46"/>
  <c r="X17" i="46"/>
  <c r="T17" i="46"/>
  <c r="BT16" i="46"/>
  <c r="BR16" i="46"/>
  <c r="BQ16" i="46"/>
  <c r="BE16" i="46"/>
  <c r="BC16" i="46"/>
  <c r="BC37" i="46" s="1"/>
  <c r="BC44" i="46" s="1"/>
  <c r="BC52" i="46" s="1"/>
  <c r="BB16" i="46"/>
  <c r="AU16" i="46"/>
  <c r="AS38" i="46" s="1"/>
  <c r="AT16" i="46"/>
  <c r="AS37" i="46" s="1"/>
  <c r="AS16" i="46"/>
  <c r="AF16" i="46"/>
  <c r="Z16" i="46"/>
  <c r="Y16" i="46"/>
  <c r="X16" i="46"/>
  <c r="AA16" i="46" s="1"/>
  <c r="T16" i="46"/>
  <c r="BP15" i="46"/>
  <c r="BE15" i="46"/>
  <c r="AV15" i="46"/>
  <c r="AF15" i="46"/>
  <c r="Y15" i="46"/>
  <c r="X15" i="46"/>
  <c r="BP14" i="46"/>
  <c r="BR14" i="46" s="1"/>
  <c r="BE14" i="46"/>
  <c r="AV14" i="46"/>
  <c r="AF14" i="46"/>
  <c r="Y14" i="46"/>
  <c r="X14" i="46"/>
  <c r="BS13" i="46"/>
  <c r="BR13" i="46"/>
  <c r="BQ13" i="46"/>
  <c r="BT13" i="46" s="1"/>
  <c r="BP13" i="46"/>
  <c r="BE13" i="46"/>
  <c r="AV13" i="46"/>
  <c r="AF13" i="46"/>
  <c r="Y13" i="46"/>
  <c r="X13" i="46"/>
  <c r="BS12" i="46"/>
  <c r="BR12" i="46"/>
  <c r="BQ12" i="46"/>
  <c r="BT12" i="46" s="1"/>
  <c r="AF12" i="46"/>
  <c r="Z12" i="46"/>
  <c r="AA12" i="46" s="1"/>
  <c r="Y12" i="46"/>
  <c r="T12" i="46"/>
  <c r="AL11" i="46"/>
  <c r="AF11" i="46"/>
  <c r="AA11" i="46"/>
  <c r="Y11" i="46"/>
  <c r="X11" i="46"/>
  <c r="T11" i="46"/>
  <c r="AF10" i="46"/>
  <c r="AB10" i="46"/>
  <c r="Z10" i="46"/>
  <c r="Y10" i="46"/>
  <c r="X10" i="46"/>
  <c r="AA10" i="46" s="1"/>
  <c r="T10" i="46"/>
  <c r="AF9" i="46"/>
  <c r="Z9" i="46"/>
  <c r="Y9" i="46"/>
  <c r="X9" i="46"/>
  <c r="AA9" i="46" s="1"/>
  <c r="T9" i="46"/>
  <c r="AO4" i="46"/>
  <c r="AU81" i="45"/>
  <c r="AU80" i="45"/>
  <c r="AT80" i="45"/>
  <c r="AS80" i="45"/>
  <c r="AU79" i="45"/>
  <c r="AT79" i="45"/>
  <c r="AS79" i="45"/>
  <c r="AS81" i="45" s="1"/>
  <c r="AS78" i="45"/>
  <c r="AU72" i="45"/>
  <c r="AT72" i="45"/>
  <c r="AS72" i="45"/>
  <c r="AZ71" i="45"/>
  <c r="AY71" i="45"/>
  <c r="AX71" i="45"/>
  <c r="AU71" i="45"/>
  <c r="AT71" i="45"/>
  <c r="AS71" i="45"/>
  <c r="AX70" i="45"/>
  <c r="AX72" i="45" s="1"/>
  <c r="AX69" i="45"/>
  <c r="AT69" i="45"/>
  <c r="AS69" i="45"/>
  <c r="AZ68" i="45"/>
  <c r="AZ70" i="45" s="1"/>
  <c r="AY68" i="45"/>
  <c r="AY70" i="45" s="1"/>
  <c r="AX68" i="45"/>
  <c r="AU68" i="45"/>
  <c r="AU70" i="45" s="1"/>
  <c r="AU73" i="45" s="1"/>
  <c r="AZ74" i="45" s="1"/>
  <c r="AT68" i="45"/>
  <c r="AT70" i="45" s="1"/>
  <c r="AT73" i="45" s="1"/>
  <c r="AY74" i="45" s="1"/>
  <c r="AS68" i="45"/>
  <c r="AS70" i="45" s="1"/>
  <c r="AS73" i="45" s="1"/>
  <c r="AX74" i="45" s="1"/>
  <c r="X65" i="45"/>
  <c r="X67" i="45" s="1"/>
  <c r="Z67" i="45" s="1"/>
  <c r="AQ48" i="45"/>
  <c r="AQ47" i="45"/>
  <c r="AA46" i="45"/>
  <c r="AB46" i="45" s="1"/>
  <c r="Y46" i="45"/>
  <c r="AF44" i="45"/>
  <c r="Z44" i="45"/>
  <c r="Y44" i="45"/>
  <c r="X44" i="45"/>
  <c r="AA44" i="45" s="1"/>
  <c r="AI44" i="45" s="1"/>
  <c r="AJ44" i="45" s="1"/>
  <c r="T44" i="45"/>
  <c r="BD43" i="45"/>
  <c r="BD44" i="45" s="1"/>
  <c r="BA43" i="45"/>
  <c r="BA44" i="45" s="1"/>
  <c r="AX43" i="45"/>
  <c r="AX44" i="45" s="1"/>
  <c r="AF43" i="45"/>
  <c r="Z43" i="45"/>
  <c r="Y43" i="45"/>
  <c r="X43" i="45"/>
  <c r="T43" i="45"/>
  <c r="AI42" i="45"/>
  <c r="AJ42" i="45" s="1"/>
  <c r="AF42" i="45"/>
  <c r="Z42" i="45"/>
  <c r="AA42" i="45" s="1"/>
  <c r="Y42" i="45"/>
  <c r="X42" i="45"/>
  <c r="T42" i="45"/>
  <c r="AF41" i="45"/>
  <c r="T41" i="45"/>
  <c r="S41" i="45"/>
  <c r="Z41" i="45" s="1"/>
  <c r="R41" i="45"/>
  <c r="Y41" i="45" s="1"/>
  <c r="Q41" i="45"/>
  <c r="X41" i="45" s="1"/>
  <c r="AA41" i="45" s="1"/>
  <c r="AF40" i="45"/>
  <c r="Z40" i="45"/>
  <c r="AA40" i="45" s="1"/>
  <c r="AB40" i="45" s="1"/>
  <c r="Y40" i="45"/>
  <c r="X40" i="45"/>
  <c r="T40" i="45"/>
  <c r="AF39" i="45"/>
  <c r="Z39" i="45"/>
  <c r="Y39" i="45"/>
  <c r="X39" i="45"/>
  <c r="T39" i="45"/>
  <c r="AF38" i="45"/>
  <c r="AA38" i="45"/>
  <c r="Z38" i="45"/>
  <c r="Y38" i="45"/>
  <c r="X38" i="45"/>
  <c r="T38" i="45"/>
  <c r="AF37" i="45"/>
  <c r="Z37" i="45"/>
  <c r="Y37" i="45"/>
  <c r="X37" i="45"/>
  <c r="AA37" i="45" s="1"/>
  <c r="AI37" i="45" s="1"/>
  <c r="AJ37" i="45" s="1"/>
  <c r="T37" i="45"/>
  <c r="AF36" i="45"/>
  <c r="Y36" i="45"/>
  <c r="S36" i="45"/>
  <c r="Z36" i="45" s="1"/>
  <c r="R36" i="45"/>
  <c r="Q36" i="45"/>
  <c r="X36" i="45" s="1"/>
  <c r="AI35" i="45"/>
  <c r="AJ35" i="45" s="1"/>
  <c r="AF35" i="45"/>
  <c r="Z35" i="45"/>
  <c r="AA35" i="45" s="1"/>
  <c r="Y35" i="45"/>
  <c r="X35" i="45"/>
  <c r="T35" i="45"/>
  <c r="AF34" i="45"/>
  <c r="Z34" i="45"/>
  <c r="Y34" i="45"/>
  <c r="X34" i="45"/>
  <c r="AL33" i="45"/>
  <c r="AM33" i="45" s="1"/>
  <c r="AF33" i="45"/>
  <c r="Z33" i="45"/>
  <c r="Y33" i="45"/>
  <c r="X33" i="45"/>
  <c r="AA33" i="45" s="1"/>
  <c r="AI33" i="45" s="1"/>
  <c r="AJ33" i="45" s="1"/>
  <c r="T33" i="45"/>
  <c r="AW32" i="45"/>
  <c r="AF32" i="45"/>
  <c r="AA32" i="45"/>
  <c r="Z32" i="45"/>
  <c r="Y32" i="45"/>
  <c r="X32" i="45"/>
  <c r="T32" i="45"/>
  <c r="AW31" i="45"/>
  <c r="AF31" i="45"/>
  <c r="Z31" i="45"/>
  <c r="Y31" i="45"/>
  <c r="Q31" i="45"/>
  <c r="AW30" i="45"/>
  <c r="AI30" i="45"/>
  <c r="AJ30" i="45" s="1"/>
  <c r="AF30" i="45"/>
  <c r="Z30" i="45"/>
  <c r="AA30" i="45" s="1"/>
  <c r="Y30" i="45"/>
  <c r="X30" i="45"/>
  <c r="T30" i="45"/>
  <c r="AL29" i="45"/>
  <c r="AM29" i="45" s="1"/>
  <c r="AF29" i="45"/>
  <c r="AB29" i="45"/>
  <c r="AA29" i="45"/>
  <c r="AI29" i="45" s="1"/>
  <c r="AJ29" i="45" s="1"/>
  <c r="Y29" i="45"/>
  <c r="T29" i="45"/>
  <c r="AF28" i="45"/>
  <c r="Z28" i="45"/>
  <c r="Y28" i="45"/>
  <c r="X28" i="45"/>
  <c r="AA28" i="45" s="1"/>
  <c r="AI28" i="45" s="1"/>
  <c r="AJ28" i="45" s="1"/>
  <c r="T28" i="45"/>
  <c r="AF27" i="45"/>
  <c r="Y27" i="45"/>
  <c r="X27" i="45"/>
  <c r="AA27" i="45" s="1"/>
  <c r="T27" i="45"/>
  <c r="AF26" i="45"/>
  <c r="Z26" i="45"/>
  <c r="Y26" i="45"/>
  <c r="X26" i="45"/>
  <c r="AA26" i="45" s="1"/>
  <c r="T26" i="45"/>
  <c r="AF25" i="45"/>
  <c r="AA25" i="45"/>
  <c r="Z25" i="45"/>
  <c r="Y25" i="45"/>
  <c r="X25" i="45"/>
  <c r="T25" i="45"/>
  <c r="AF24" i="45"/>
  <c r="Z24" i="45"/>
  <c r="Y24" i="45"/>
  <c r="X24" i="45"/>
  <c r="AF23" i="45"/>
  <c r="AA23" i="45"/>
  <c r="AB23" i="45" s="1"/>
  <c r="Z23" i="45"/>
  <c r="Y23" i="45"/>
  <c r="X23" i="45"/>
  <c r="AF22" i="45"/>
  <c r="AA22" i="45"/>
  <c r="Z22" i="45"/>
  <c r="Y22" i="45"/>
  <c r="X22" i="45"/>
  <c r="T22" i="45"/>
  <c r="AF21" i="45"/>
  <c r="AB21" i="45"/>
  <c r="Z21" i="45"/>
  <c r="Y21" i="45"/>
  <c r="X21" i="45"/>
  <c r="AA21" i="45" s="1"/>
  <c r="AI21" i="45" s="1"/>
  <c r="AJ21" i="45" s="1"/>
  <c r="T21" i="45"/>
  <c r="AW20" i="45"/>
  <c r="AF20" i="45"/>
  <c r="S20" i="45"/>
  <c r="R20" i="45"/>
  <c r="Y20" i="45" s="1"/>
  <c r="Q20" i="45"/>
  <c r="AW19" i="45"/>
  <c r="AF19" i="45"/>
  <c r="Z19" i="45"/>
  <c r="Y19" i="45"/>
  <c r="X19" i="45"/>
  <c r="AA19" i="45" s="1"/>
  <c r="AI19" i="45" s="1"/>
  <c r="AJ19" i="45" s="1"/>
  <c r="T19" i="45"/>
  <c r="AW18" i="45"/>
  <c r="AI18" i="45"/>
  <c r="AJ18" i="45" s="1"/>
  <c r="AF18" i="45"/>
  <c r="Z18" i="45"/>
  <c r="AA18" i="45" s="1"/>
  <c r="Y18" i="45"/>
  <c r="X18" i="45"/>
  <c r="T18" i="45"/>
  <c r="AW17" i="45"/>
  <c r="AF17" i="45"/>
  <c r="Z17" i="45"/>
  <c r="Y17" i="45"/>
  <c r="X17" i="45"/>
  <c r="AA17" i="45" s="1"/>
  <c r="AI17" i="45" s="1"/>
  <c r="AJ17" i="45" s="1"/>
  <c r="T17" i="45"/>
  <c r="AW16" i="45"/>
  <c r="AI16" i="45"/>
  <c r="AJ16" i="45" s="1"/>
  <c r="AF16" i="45"/>
  <c r="Z16" i="45"/>
  <c r="AA16" i="45" s="1"/>
  <c r="Y16" i="45"/>
  <c r="X16" i="45"/>
  <c r="T16" i="45"/>
  <c r="AW15" i="45"/>
  <c r="AF15" i="45"/>
  <c r="Y15" i="45"/>
  <c r="AA15" i="45" s="1"/>
  <c r="AB15" i="45" s="1"/>
  <c r="X15" i="45"/>
  <c r="BF14" i="45"/>
  <c r="BF16" i="45" s="1"/>
  <c r="BE14" i="45"/>
  <c r="BE16" i="45" s="1"/>
  <c r="AW14" i="45"/>
  <c r="AF14" i="45"/>
  <c r="AB14" i="45"/>
  <c r="Y14" i="45"/>
  <c r="X14" i="45"/>
  <c r="AA14" i="45" s="1"/>
  <c r="BG13" i="45"/>
  <c r="BF13" i="45"/>
  <c r="BE13" i="45"/>
  <c r="BD13" i="45"/>
  <c r="AW13" i="45"/>
  <c r="AF13" i="45"/>
  <c r="AA13" i="45"/>
  <c r="AB13" i="45" s="1"/>
  <c r="Y13" i="45"/>
  <c r="X13" i="45"/>
  <c r="BD12" i="45"/>
  <c r="BG12" i="45" s="1"/>
  <c r="AW12" i="45"/>
  <c r="AF12" i="45"/>
  <c r="AA12" i="45"/>
  <c r="Z12" i="45"/>
  <c r="Y12" i="45"/>
  <c r="T12" i="45"/>
  <c r="BG11" i="45"/>
  <c r="BE11" i="45"/>
  <c r="BD11" i="45"/>
  <c r="AW11" i="45"/>
  <c r="AF11" i="45"/>
  <c r="S11" i="45"/>
  <c r="R11" i="45"/>
  <c r="Y11" i="45" s="1"/>
  <c r="Q11" i="45"/>
  <c r="X11" i="45" s="1"/>
  <c r="AA11" i="45" s="1"/>
  <c r="AB11" i="45" s="1"/>
  <c r="BG10" i="45"/>
  <c r="BD10" i="45"/>
  <c r="BD15" i="45" s="1"/>
  <c r="AX10" i="45"/>
  <c r="AW10" i="45"/>
  <c r="AF10" i="45"/>
  <c r="Z10" i="45"/>
  <c r="Y10" i="45"/>
  <c r="X10" i="45"/>
  <c r="T10" i="45"/>
  <c r="BG9" i="45"/>
  <c r="BF9" i="45"/>
  <c r="BF10" i="45" s="1"/>
  <c r="BF15" i="45" s="1"/>
  <c r="BE9" i="45"/>
  <c r="BD9" i="45"/>
  <c r="AW9" i="45"/>
  <c r="AF9" i="45"/>
  <c r="AA9" i="45"/>
  <c r="Z9" i="45"/>
  <c r="Y9" i="45"/>
  <c r="X9" i="45"/>
  <c r="T9" i="45"/>
  <c r="BD8" i="45"/>
  <c r="BG8" i="45" s="1"/>
  <c r="AW8" i="45"/>
  <c r="BG7" i="45"/>
  <c r="BE7" i="45"/>
  <c r="BE10" i="45" s="1"/>
  <c r="BE15" i="45" s="1"/>
  <c r="BG15" i="45" s="1"/>
  <c r="BD7" i="45"/>
  <c r="BG6" i="45"/>
  <c r="AO5" i="45"/>
  <c r="AB48" i="18"/>
  <c r="P45" i="18"/>
  <c r="O45" i="18"/>
  <c r="W45" i="18" s="1"/>
  <c r="M45" i="18"/>
  <c r="T43" i="18"/>
  <c r="O43" i="18"/>
  <c r="N43" i="18"/>
  <c r="M43" i="18"/>
  <c r="L43" i="18"/>
  <c r="T42" i="18"/>
  <c r="N42" i="18"/>
  <c r="M42" i="18"/>
  <c r="L42" i="18"/>
  <c r="O42" i="18" s="1"/>
  <c r="X41" i="18"/>
  <c r="T41" i="18"/>
  <c r="O41" i="18"/>
  <c r="W41" i="18" s="1"/>
  <c r="N41" i="18"/>
  <c r="M41" i="18"/>
  <c r="L41" i="18"/>
  <c r="T40" i="18"/>
  <c r="O40" i="18"/>
  <c r="W40" i="18" s="1"/>
  <c r="X40" i="18" s="1"/>
  <c r="N40" i="18"/>
  <c r="M40" i="18"/>
  <c r="L40" i="18"/>
  <c r="T39" i="18"/>
  <c r="H39" i="18"/>
  <c r="G39" i="18"/>
  <c r="N39" i="18" s="1"/>
  <c r="F39" i="18"/>
  <c r="M39" i="18" s="1"/>
  <c r="E39" i="18"/>
  <c r="L39" i="18" s="1"/>
  <c r="O39" i="18" s="1"/>
  <c r="T38" i="18"/>
  <c r="H38" i="18"/>
  <c r="G38" i="18"/>
  <c r="N38" i="18" s="1"/>
  <c r="F38" i="18"/>
  <c r="M38" i="18" s="1"/>
  <c r="E38" i="18"/>
  <c r="L38" i="18" s="1"/>
  <c r="O38" i="18" s="1"/>
  <c r="T37" i="18"/>
  <c r="P37" i="18"/>
  <c r="N37" i="18"/>
  <c r="M37" i="18"/>
  <c r="L37" i="18"/>
  <c r="O37" i="18" s="1"/>
  <c r="W37" i="18" s="1"/>
  <c r="X37" i="18" s="1"/>
  <c r="H37" i="18"/>
  <c r="T36" i="18"/>
  <c r="N36" i="18"/>
  <c r="G36" i="18"/>
  <c r="F36" i="18"/>
  <c r="M36" i="18" s="1"/>
  <c r="E36" i="18"/>
  <c r="T35" i="18"/>
  <c r="G35" i="18"/>
  <c r="N35" i="18" s="1"/>
  <c r="F35" i="18"/>
  <c r="M35" i="18" s="1"/>
  <c r="E35" i="18"/>
  <c r="L35" i="18" s="1"/>
  <c r="O35" i="18" s="1"/>
  <c r="T34" i="18"/>
  <c r="N34" i="18"/>
  <c r="M34" i="18"/>
  <c r="O34" i="18" s="1"/>
  <c r="L34" i="18"/>
  <c r="H34" i="18"/>
  <c r="T33" i="18"/>
  <c r="N33" i="18"/>
  <c r="M33" i="18"/>
  <c r="L33" i="18"/>
  <c r="T32" i="18"/>
  <c r="M32" i="18"/>
  <c r="L32" i="18"/>
  <c r="O32" i="18" s="1"/>
  <c r="H32" i="18"/>
  <c r="G32" i="18"/>
  <c r="N32" i="18" s="1"/>
  <c r="T31" i="18"/>
  <c r="H31" i="18"/>
  <c r="G31" i="18"/>
  <c r="N31" i="18" s="1"/>
  <c r="F31" i="18"/>
  <c r="M31" i="18" s="1"/>
  <c r="E31" i="18"/>
  <c r="L31" i="18" s="1"/>
  <c r="T30" i="18"/>
  <c r="G30" i="18"/>
  <c r="N30" i="18" s="1"/>
  <c r="F30" i="18"/>
  <c r="M30" i="18" s="1"/>
  <c r="E30" i="18"/>
  <c r="H30" i="18" s="1"/>
  <c r="T29" i="18"/>
  <c r="G29" i="18"/>
  <c r="N29" i="18" s="1"/>
  <c r="F29" i="18"/>
  <c r="M29" i="18" s="1"/>
  <c r="E29" i="18"/>
  <c r="H29" i="18" s="1"/>
  <c r="T28" i="18"/>
  <c r="M28" i="18"/>
  <c r="O28" i="18" s="1"/>
  <c r="H28" i="18"/>
  <c r="G28" i="18"/>
  <c r="F28" i="18"/>
  <c r="E28" i="18"/>
  <c r="T27" i="18"/>
  <c r="G27" i="18"/>
  <c r="N27" i="18" s="1"/>
  <c r="F27" i="18"/>
  <c r="M27" i="18" s="1"/>
  <c r="E27" i="18"/>
  <c r="H27" i="18" s="1"/>
  <c r="T26" i="18"/>
  <c r="H26" i="18"/>
  <c r="G26" i="18"/>
  <c r="F26" i="18"/>
  <c r="M26" i="18" s="1"/>
  <c r="E26" i="18"/>
  <c r="L26" i="18" s="1"/>
  <c r="T25" i="18"/>
  <c r="H25" i="18"/>
  <c r="G25" i="18"/>
  <c r="N25" i="18" s="1"/>
  <c r="F25" i="18"/>
  <c r="M25" i="18" s="1"/>
  <c r="E25" i="18"/>
  <c r="L25" i="18" s="1"/>
  <c r="T24" i="18"/>
  <c r="N24" i="18"/>
  <c r="M24" i="18"/>
  <c r="L24" i="18"/>
  <c r="O24" i="18" s="1"/>
  <c r="H24" i="18"/>
  <c r="F24" i="18"/>
  <c r="E24" i="18"/>
  <c r="T23" i="18"/>
  <c r="N23" i="18"/>
  <c r="M23" i="18"/>
  <c r="L23" i="18"/>
  <c r="T22" i="18"/>
  <c r="H22" i="18"/>
  <c r="G22" i="18"/>
  <c r="N22" i="18" s="1"/>
  <c r="F22" i="18"/>
  <c r="M22" i="18" s="1"/>
  <c r="E22" i="18"/>
  <c r="L22" i="18" s="1"/>
  <c r="T21" i="18"/>
  <c r="H21" i="18"/>
  <c r="G21" i="18"/>
  <c r="N21" i="18" s="1"/>
  <c r="F21" i="18"/>
  <c r="M21" i="18" s="1"/>
  <c r="E21" i="18"/>
  <c r="L21" i="18" s="1"/>
  <c r="O21" i="18" s="1"/>
  <c r="T20" i="18"/>
  <c r="H20" i="18"/>
  <c r="G20" i="18"/>
  <c r="N20" i="18" s="1"/>
  <c r="F20" i="18"/>
  <c r="M20" i="18" s="1"/>
  <c r="E20" i="18"/>
  <c r="L20" i="18" s="1"/>
  <c r="O20" i="18" s="1"/>
  <c r="T19" i="18"/>
  <c r="M19" i="18"/>
  <c r="H19" i="18"/>
  <c r="G19" i="18"/>
  <c r="N19" i="18" s="1"/>
  <c r="O19" i="18" s="1"/>
  <c r="F19" i="18"/>
  <c r="E19" i="18"/>
  <c r="T18" i="18"/>
  <c r="G18" i="18"/>
  <c r="N18" i="18" s="1"/>
  <c r="F18" i="18"/>
  <c r="M18" i="18" s="1"/>
  <c r="E18" i="18"/>
  <c r="H18" i="18" s="1"/>
  <c r="T17" i="18"/>
  <c r="G17" i="18"/>
  <c r="N17" i="18" s="1"/>
  <c r="F17" i="18"/>
  <c r="M17" i="18" s="1"/>
  <c r="E17" i="18"/>
  <c r="H17" i="18" s="1"/>
  <c r="T16" i="18"/>
  <c r="G16" i="18"/>
  <c r="N16" i="18" s="1"/>
  <c r="F16" i="18"/>
  <c r="M16" i="18" s="1"/>
  <c r="E16" i="18"/>
  <c r="H16" i="18" s="1"/>
  <c r="T15" i="18"/>
  <c r="G15" i="18"/>
  <c r="N15" i="18" s="1"/>
  <c r="F15" i="18"/>
  <c r="M15" i="18" s="1"/>
  <c r="E15" i="18"/>
  <c r="H15" i="18" s="1"/>
  <c r="T14" i="18"/>
  <c r="G14" i="18"/>
  <c r="F14" i="18"/>
  <c r="M14" i="18" s="1"/>
  <c r="E14" i="18"/>
  <c r="L14" i="18" s="1"/>
  <c r="T13" i="18"/>
  <c r="G13" i="18"/>
  <c r="F13" i="18"/>
  <c r="M13" i="18" s="1"/>
  <c r="E13" i="18"/>
  <c r="H13" i="18" s="1"/>
  <c r="T12" i="18"/>
  <c r="H12" i="18"/>
  <c r="G12" i="18"/>
  <c r="F12" i="18"/>
  <c r="M12" i="18" s="1"/>
  <c r="E12" i="18"/>
  <c r="L12" i="18" s="1"/>
  <c r="O12" i="18" s="1"/>
  <c r="T11" i="18"/>
  <c r="M11" i="18"/>
  <c r="H11" i="18"/>
  <c r="G11" i="18"/>
  <c r="N11" i="18" s="1"/>
  <c r="O11" i="18" s="1"/>
  <c r="F11" i="18"/>
  <c r="E11" i="18"/>
  <c r="T10" i="18"/>
  <c r="G10" i="18"/>
  <c r="F10" i="18"/>
  <c r="M10" i="18" s="1"/>
  <c r="E10" i="18"/>
  <c r="L10" i="18" s="1"/>
  <c r="T9" i="18"/>
  <c r="G9" i="18"/>
  <c r="N9" i="18" s="1"/>
  <c r="F9" i="18"/>
  <c r="M9" i="18" s="1"/>
  <c r="E9" i="18"/>
  <c r="L9" i="18" s="1"/>
  <c r="T8" i="18"/>
  <c r="G8" i="18"/>
  <c r="N8" i="18" s="1"/>
  <c r="F8" i="18"/>
  <c r="M8" i="18" s="1"/>
  <c r="E8" i="18"/>
  <c r="L8" i="18" s="1"/>
  <c r="W20" i="18" l="1"/>
  <c r="X20" i="18" s="1"/>
  <c r="Z20" i="18"/>
  <c r="AA20" i="18" s="1"/>
  <c r="AB20" i="18" s="1"/>
  <c r="P20" i="18"/>
  <c r="W38" i="18"/>
  <c r="X38" i="18" s="1"/>
  <c r="P38" i="18"/>
  <c r="Z38" i="18"/>
  <c r="AA38" i="18" s="1"/>
  <c r="W11" i="18"/>
  <c r="X11" i="18" s="1"/>
  <c r="Z11" i="18"/>
  <c r="AA11" i="18" s="1"/>
  <c r="P11" i="18"/>
  <c r="W12" i="18"/>
  <c r="P12" i="18"/>
  <c r="W21" i="18"/>
  <c r="X21" i="18" s="1"/>
  <c r="Z21" i="18"/>
  <c r="AA21" i="18" s="1"/>
  <c r="AB21" i="18" s="1"/>
  <c r="P21" i="18"/>
  <c r="AB24" i="18"/>
  <c r="W32" i="18"/>
  <c r="X32" i="18" s="1"/>
  <c r="Z32" i="18"/>
  <c r="AA32" i="18" s="1"/>
  <c r="P32" i="18"/>
  <c r="Z35" i="18"/>
  <c r="AA35" i="18" s="1"/>
  <c r="P35" i="18"/>
  <c r="P39" i="18"/>
  <c r="W39" i="18"/>
  <c r="W42" i="18"/>
  <c r="X42" i="18" s="1"/>
  <c r="P42" i="18"/>
  <c r="Z42" i="18"/>
  <c r="AA42" i="18" s="1"/>
  <c r="W19" i="18"/>
  <c r="X19" i="18" s="1"/>
  <c r="P19" i="18"/>
  <c r="Z19" i="18"/>
  <c r="AA19" i="18" s="1"/>
  <c r="Z28" i="18"/>
  <c r="AA28" i="18" s="1"/>
  <c r="AB28" i="18" s="1"/>
  <c r="P28" i="18"/>
  <c r="W28" i="18"/>
  <c r="X28" i="18" s="1"/>
  <c r="AB35" i="18"/>
  <c r="O14" i="18"/>
  <c r="O22" i="18"/>
  <c r="W24" i="18"/>
  <c r="X24" i="18" s="1"/>
  <c r="Z24" i="18"/>
  <c r="AA24" i="18" s="1"/>
  <c r="P24" i="18"/>
  <c r="O25" i="18"/>
  <c r="O31" i="18"/>
  <c r="Z34" i="18"/>
  <c r="AA34" i="18" s="1"/>
  <c r="AB34" i="18" s="1"/>
  <c r="P34" i="18"/>
  <c r="W34" i="18"/>
  <c r="X34" i="18" s="1"/>
  <c r="AB11" i="18"/>
  <c r="O8" i="18"/>
  <c r="O9" i="18"/>
  <c r="O10" i="18"/>
  <c r="AB19" i="18"/>
  <c r="O26" i="18"/>
  <c r="AB32" i="18"/>
  <c r="AI41" i="45"/>
  <c r="AJ41" i="45" s="1"/>
  <c r="AL41" i="45"/>
  <c r="AM41" i="45" s="1"/>
  <c r="AN41" i="45" s="1"/>
  <c r="AB41" i="45"/>
  <c r="L15" i="18"/>
  <c r="O15" i="18" s="1"/>
  <c r="L17" i="18"/>
  <c r="O17" i="18" s="1"/>
  <c r="L29" i="18"/>
  <c r="O29" i="18" s="1"/>
  <c r="L30" i="18"/>
  <c r="O30" i="18" s="1"/>
  <c r="Z40" i="18"/>
  <c r="AA40" i="18" s="1"/>
  <c r="Z43" i="18"/>
  <c r="AA43" i="18" s="1"/>
  <c r="AB43" i="18" s="1"/>
  <c r="P43" i="18"/>
  <c r="AI25" i="45"/>
  <c r="AJ25" i="45" s="1"/>
  <c r="AL25" i="45"/>
  <c r="AM25" i="45" s="1"/>
  <c r="AB25" i="45"/>
  <c r="AL16" i="46"/>
  <c r="AM16" i="46" s="1"/>
  <c r="AB16" i="46"/>
  <c r="AI25" i="46"/>
  <c r="AJ25" i="46" s="1"/>
  <c r="AB25" i="46"/>
  <c r="AL25" i="46"/>
  <c r="AM25" i="46" s="1"/>
  <c r="AN25" i="46" s="1"/>
  <c r="AL37" i="46"/>
  <c r="AM37" i="46" s="1"/>
  <c r="AN37" i="46" s="1"/>
  <c r="AB37" i="46"/>
  <c r="AI37" i="46"/>
  <c r="AJ37" i="46" s="1"/>
  <c r="H8" i="18"/>
  <c r="H9" i="18"/>
  <c r="H10" i="18"/>
  <c r="H14" i="18"/>
  <c r="P40" i="18"/>
  <c r="Z41" i="18"/>
  <c r="AA41" i="18" s="1"/>
  <c r="AB41" i="18" s="1"/>
  <c r="AI9" i="45"/>
  <c r="AJ9" i="45" s="1"/>
  <c r="AL9" i="45"/>
  <c r="AM9" i="45" s="1"/>
  <c r="AA10" i="45"/>
  <c r="BD14" i="45"/>
  <c r="AL16" i="45"/>
  <c r="AM16" i="45" s="1"/>
  <c r="AN16" i="45" s="1"/>
  <c r="AB16" i="45"/>
  <c r="AL17" i="45"/>
  <c r="AM17" i="45" s="1"/>
  <c r="AL19" i="45"/>
  <c r="AM19" i="45" s="1"/>
  <c r="AN25" i="45"/>
  <c r="AL26" i="45"/>
  <c r="AM26" i="45" s="1"/>
  <c r="AN26" i="45" s="1"/>
  <c r="AB26" i="45"/>
  <c r="AI26" i="45"/>
  <c r="AJ26" i="45" s="1"/>
  <c r="AL28" i="45"/>
  <c r="AM28" i="45" s="1"/>
  <c r="AN28" i="45" s="1"/>
  <c r="AL30" i="45"/>
  <c r="AB30" i="45"/>
  <c r="AI32" i="45"/>
  <c r="AJ32" i="45" s="1"/>
  <c r="AL32" i="45"/>
  <c r="AM32" i="45" s="1"/>
  <c r="AN32" i="45" s="1"/>
  <c r="AB32" i="45"/>
  <c r="AL35" i="45"/>
  <c r="AM35" i="45" s="1"/>
  <c r="AN35" i="45" s="1"/>
  <c r="AB35" i="45"/>
  <c r="AA36" i="45"/>
  <c r="AL37" i="45"/>
  <c r="AM37" i="45" s="1"/>
  <c r="AN37" i="45" s="1"/>
  <c r="AL44" i="45"/>
  <c r="AM44" i="45" s="1"/>
  <c r="AT81" i="45"/>
  <c r="AL12" i="46"/>
  <c r="AB12" i="46"/>
  <c r="AI12" i="46"/>
  <c r="AJ12" i="46" s="1"/>
  <c r="AL22" i="46"/>
  <c r="AM22" i="46" s="1"/>
  <c r="AN22" i="46" s="1"/>
  <c r="AB22" i="46"/>
  <c r="AI22" i="46"/>
  <c r="AJ22" i="46" s="1"/>
  <c r="L13" i="18"/>
  <c r="O13" i="18" s="1"/>
  <c r="L16" i="18"/>
  <c r="O16" i="18" s="1"/>
  <c r="L18" i="18"/>
  <c r="O18" i="18" s="1"/>
  <c r="AB38" i="18"/>
  <c r="AN17" i="45"/>
  <c r="AN19" i="45"/>
  <c r="AI16" i="46"/>
  <c r="AJ16" i="46" s="1"/>
  <c r="AL26" i="46"/>
  <c r="AM26" i="46" s="1"/>
  <c r="AN26" i="46" s="1"/>
  <c r="AB26" i="46"/>
  <c r="AI26" i="46"/>
  <c r="AJ26" i="46" s="1"/>
  <c r="BS37" i="46"/>
  <c r="BS39" i="46"/>
  <c r="H35" i="18"/>
  <c r="W35" i="18" s="1"/>
  <c r="X35" i="18" s="1"/>
  <c r="Z37" i="18"/>
  <c r="AA37" i="18" s="1"/>
  <c r="AB37" i="18" s="1"/>
  <c r="AB40" i="18"/>
  <c r="P41" i="18"/>
  <c r="W43" i="18"/>
  <c r="X43" i="18" s="1"/>
  <c r="AB9" i="45"/>
  <c r="AL11" i="45"/>
  <c r="AL18" i="45"/>
  <c r="AM18" i="45" s="1"/>
  <c r="AN18" i="45" s="1"/>
  <c r="AB18" i="45"/>
  <c r="Z20" i="45"/>
  <c r="AA20" i="45" s="1"/>
  <c r="T20" i="45"/>
  <c r="AL21" i="45"/>
  <c r="AM21" i="45" s="1"/>
  <c r="AN21" i="45" s="1"/>
  <c r="X31" i="45"/>
  <c r="AA31" i="45" s="1"/>
  <c r="T31" i="45"/>
  <c r="AB33" i="45"/>
  <c r="AI38" i="45"/>
  <c r="AJ38" i="45" s="1"/>
  <c r="AL38" i="45"/>
  <c r="AM38" i="45" s="1"/>
  <c r="AB38" i="45"/>
  <c r="AI40" i="45"/>
  <c r="AL42" i="45"/>
  <c r="AM42" i="45" s="1"/>
  <c r="AN42" i="45" s="1"/>
  <c r="AB42" i="45"/>
  <c r="L27" i="18"/>
  <c r="O27" i="18" s="1"/>
  <c r="AB42" i="18"/>
  <c r="AN44" i="45"/>
  <c r="L36" i="18"/>
  <c r="O36" i="18" s="1"/>
  <c r="H36" i="18"/>
  <c r="AN9" i="45"/>
  <c r="T11" i="45"/>
  <c r="AI11" i="45" s="1"/>
  <c r="AJ11" i="45" s="1"/>
  <c r="AI12" i="45"/>
  <c r="AJ12" i="45" s="1"/>
  <c r="AL12" i="45"/>
  <c r="AB12" i="45"/>
  <c r="AB17" i="45"/>
  <c r="AB19" i="45"/>
  <c r="AI22" i="45"/>
  <c r="AJ22" i="45" s="1"/>
  <c r="AL22" i="45"/>
  <c r="AM22" i="45" s="1"/>
  <c r="AN22" i="45" s="1"/>
  <c r="AB22" i="45"/>
  <c r="AL27" i="45"/>
  <c r="AM27" i="45" s="1"/>
  <c r="AN27" i="45" s="1"/>
  <c r="AB27" i="45"/>
  <c r="AI27" i="45"/>
  <c r="AJ27" i="45" s="1"/>
  <c r="AB28" i="45"/>
  <c r="AN29" i="45"/>
  <c r="AN33" i="45"/>
  <c r="AB37" i="45"/>
  <c r="AN38" i="45"/>
  <c r="AA39" i="45"/>
  <c r="AA43" i="45"/>
  <c r="AB44" i="45"/>
  <c r="AX45" i="45"/>
  <c r="AX46" i="45" s="1"/>
  <c r="AL38" i="46"/>
  <c r="AM38" i="46" s="1"/>
  <c r="AN38" i="46" s="1"/>
  <c r="AB38" i="46"/>
  <c r="AI38" i="46"/>
  <c r="AJ38" i="46" s="1"/>
  <c r="AL46" i="46"/>
  <c r="AM46" i="46" s="1"/>
  <c r="AN46" i="46" s="1"/>
  <c r="AB46" i="46"/>
  <c r="AI46" i="46"/>
  <c r="AJ46" i="46" s="1"/>
  <c r="BA45" i="45"/>
  <c r="BA46" i="45" s="1"/>
  <c r="AI9" i="46"/>
  <c r="AJ9" i="46" s="1"/>
  <c r="AB9" i="46"/>
  <c r="AL9" i="46"/>
  <c r="AM9" i="46" s="1"/>
  <c r="AN9" i="46" s="1"/>
  <c r="AM11" i="46"/>
  <c r="AN11" i="46" s="1"/>
  <c r="AQ11" i="46"/>
  <c r="AT48" i="46"/>
  <c r="AT49" i="46" s="1"/>
  <c r="AT50" i="46" s="1"/>
  <c r="AX49" i="46" s="1"/>
  <c r="AI27" i="46"/>
  <c r="AJ27" i="46" s="1"/>
  <c r="AB27" i="46"/>
  <c r="BC53" i="46"/>
  <c r="AS39" i="46"/>
  <c r="T36" i="45"/>
  <c r="BD45" i="45"/>
  <c r="BD46" i="45" s="1"/>
  <c r="AI10" i="46"/>
  <c r="AJ10" i="46" s="1"/>
  <c r="AL10" i="46"/>
  <c r="AM10" i="46" s="1"/>
  <c r="AN10" i="46" s="1"/>
  <c r="BR15" i="46"/>
  <c r="BQ15" i="46"/>
  <c r="BS15" i="46"/>
  <c r="AL17" i="46"/>
  <c r="AM17" i="46" s="1"/>
  <c r="AN17" i="46" s="1"/>
  <c r="AB17" i="46"/>
  <c r="AI17" i="46"/>
  <c r="AJ17" i="46" s="1"/>
  <c r="AL20" i="46"/>
  <c r="AM20" i="46" s="1"/>
  <c r="AN20" i="46" s="1"/>
  <c r="AB20" i="46"/>
  <c r="AI20" i="46"/>
  <c r="AJ20" i="46" s="1"/>
  <c r="AL30" i="46"/>
  <c r="AB30" i="46"/>
  <c r="AI30" i="46"/>
  <c r="AJ30" i="46" s="1"/>
  <c r="AL32" i="46"/>
  <c r="AM32" i="46" s="1"/>
  <c r="AN32" i="46" s="1"/>
  <c r="AB32" i="46"/>
  <c r="AI32" i="46"/>
  <c r="AJ32" i="46" s="1"/>
  <c r="BM35" i="46"/>
  <c r="BM37" i="46" s="1"/>
  <c r="AI11" i="46"/>
  <c r="AJ11" i="46" s="1"/>
  <c r="AB11" i="46"/>
  <c r="AN16" i="46"/>
  <c r="AI36" i="46"/>
  <c r="AJ36" i="46" s="1"/>
  <c r="AL36" i="46"/>
  <c r="AM36" i="46" s="1"/>
  <c r="AN36" i="46" s="1"/>
  <c r="AL41" i="46"/>
  <c r="AM41" i="46" s="1"/>
  <c r="AN41" i="46" s="1"/>
  <c r="AB41" i="46"/>
  <c r="AI41" i="46"/>
  <c r="AJ41" i="46" s="1"/>
  <c r="BD51" i="46"/>
  <c r="BD53" i="46" s="1"/>
  <c r="BR21" i="46"/>
  <c r="AI34" i="46"/>
  <c r="AL39" i="46"/>
  <c r="AB39" i="46"/>
  <c r="AI39" i="46"/>
  <c r="AJ39" i="46" s="1"/>
  <c r="AI43" i="46"/>
  <c r="AJ43" i="46" s="1"/>
  <c r="AL43" i="46"/>
  <c r="AM43" i="46" s="1"/>
  <c r="AN43" i="46" s="1"/>
  <c r="AL44" i="46"/>
  <c r="AM44" i="46" s="1"/>
  <c r="AN44" i="46" s="1"/>
  <c r="AB44" i="46"/>
  <c r="AI44" i="46"/>
  <c r="AJ44" i="46" s="1"/>
  <c r="BQ14" i="46"/>
  <c r="BB37" i="46"/>
  <c r="AA19" i="46"/>
  <c r="AV20" i="46"/>
  <c r="AL21" i="46"/>
  <c r="AM21" i="46" s="1"/>
  <c r="AN21" i="46" s="1"/>
  <c r="AL29" i="46"/>
  <c r="AM29" i="46" s="1"/>
  <c r="AN29" i="46" s="1"/>
  <c r="AA33" i="46"/>
  <c r="AB34" i="46"/>
  <c r="BQ39" i="46"/>
  <c r="BK37" i="46" s="1"/>
  <c r="BE42" i="46"/>
  <c r="AB43" i="46"/>
  <c r="BE45" i="46"/>
  <c r="BE49" i="46"/>
  <c r="BC63" i="46"/>
  <c r="BC66" i="46" s="1"/>
  <c r="BC65" i="46"/>
  <c r="BS21" i="46"/>
  <c r="AV16" i="46"/>
  <c r="AA18" i="46"/>
  <c r="BP21" i="46"/>
  <c r="AA28" i="46"/>
  <c r="AA31" i="46"/>
  <c r="AA35" i="46"/>
  <c r="BB35" i="46"/>
  <c r="BR39" i="46"/>
  <c r="BL37" i="46" s="1"/>
  <c r="BE41" i="46"/>
  <c r="AA42" i="46"/>
  <c r="BQ37" i="46"/>
  <c r="BR37" i="46"/>
  <c r="AP24" i="45" l="1"/>
  <c r="X52" i="46"/>
  <c r="W29" i="18"/>
  <c r="X29" i="18" s="1"/>
  <c r="Z29" i="18"/>
  <c r="AA29" i="18" s="1"/>
  <c r="AB29" i="18" s="1"/>
  <c r="P29" i="18"/>
  <c r="W22" i="18"/>
  <c r="P22" i="18"/>
  <c r="AL18" i="46"/>
  <c r="AM18" i="46" s="1"/>
  <c r="AN18" i="46" s="1"/>
  <c r="AB18" i="46"/>
  <c r="AI18" i="46"/>
  <c r="AJ18" i="46" s="1"/>
  <c r="AL33" i="46"/>
  <c r="AM33" i="46" s="1"/>
  <c r="AN33" i="46" s="1"/>
  <c r="AB33" i="46"/>
  <c r="AI33" i="46"/>
  <c r="AJ33" i="46" s="1"/>
  <c r="AL19" i="46"/>
  <c r="AM19" i="46" s="1"/>
  <c r="AN19" i="46" s="1"/>
  <c r="AB19" i="46"/>
  <c r="AI19" i="46"/>
  <c r="AJ19" i="46" s="1"/>
  <c r="AV48" i="46"/>
  <c r="AV49" i="46" s="1"/>
  <c r="AV50" i="46" s="1"/>
  <c r="AM39" i="46"/>
  <c r="AN39" i="46" s="1"/>
  <c r="AP38" i="46" s="1"/>
  <c r="AQ39" i="46"/>
  <c r="AL43" i="45"/>
  <c r="AM43" i="45" s="1"/>
  <c r="AN43" i="45" s="1"/>
  <c r="AP43" i="45" s="1"/>
  <c r="AB43" i="45"/>
  <c r="AI43" i="45"/>
  <c r="AJ43" i="45" s="1"/>
  <c r="AP34" i="45"/>
  <c r="AQ12" i="45"/>
  <c r="AM12" i="45"/>
  <c r="AN12" i="45" s="1"/>
  <c r="W27" i="18"/>
  <c r="X27" i="18" s="1"/>
  <c r="P27" i="18"/>
  <c r="Z27" i="18"/>
  <c r="AA27" i="18" s="1"/>
  <c r="AB27" i="18" s="1"/>
  <c r="AR62" i="45"/>
  <c r="AR63" i="45" s="1"/>
  <c r="AM11" i="45"/>
  <c r="AN11" i="45" s="1"/>
  <c r="AQ11" i="45"/>
  <c r="L55" i="18"/>
  <c r="AD42" i="18"/>
  <c r="P16" i="18"/>
  <c r="W16" i="18"/>
  <c r="X16" i="18" s="1"/>
  <c r="Z16" i="18"/>
  <c r="AA16" i="18" s="1"/>
  <c r="AB16" i="18" s="1"/>
  <c r="AL10" i="45"/>
  <c r="AM10" i="45" s="1"/>
  <c r="AN10" i="45" s="1"/>
  <c r="AB10" i="45"/>
  <c r="AI10" i="45"/>
  <c r="AJ10" i="45" s="1"/>
  <c r="W17" i="18"/>
  <c r="X17" i="18" s="1"/>
  <c r="P17" i="18"/>
  <c r="Z17" i="18"/>
  <c r="AA17" i="18" s="1"/>
  <c r="AB17" i="18" s="1"/>
  <c r="P26" i="18"/>
  <c r="W26" i="18"/>
  <c r="X26" i="18" s="1"/>
  <c r="Z26" i="18"/>
  <c r="AA26" i="18" s="1"/>
  <c r="AB26" i="18" s="1"/>
  <c r="W8" i="18"/>
  <c r="X8" i="18" s="1"/>
  <c r="Z8" i="18"/>
  <c r="AA8" i="18" s="1"/>
  <c r="AB8" i="18" s="1"/>
  <c r="P8" i="18"/>
  <c r="W14" i="18"/>
  <c r="P14" i="18"/>
  <c r="AI35" i="46"/>
  <c r="AJ35" i="46" s="1"/>
  <c r="AB35" i="46"/>
  <c r="AL35" i="46"/>
  <c r="AM35" i="46" s="1"/>
  <c r="AN35" i="46" s="1"/>
  <c r="W18" i="18"/>
  <c r="X18" i="18" s="1"/>
  <c r="Z18" i="18"/>
  <c r="AA18" i="18" s="1"/>
  <c r="AB18" i="18" s="1"/>
  <c r="P18" i="18"/>
  <c r="AL36" i="45"/>
  <c r="AM36" i="45" s="1"/>
  <c r="AN36" i="45" s="1"/>
  <c r="AB36" i="45"/>
  <c r="AI36" i="45"/>
  <c r="AJ36" i="45" s="1"/>
  <c r="Z9" i="18"/>
  <c r="AA9" i="18" s="1"/>
  <c r="AB9" i="18" s="1"/>
  <c r="P9" i="18"/>
  <c r="W9" i="18"/>
  <c r="X9" i="18" s="1"/>
  <c r="W25" i="18"/>
  <c r="X25" i="18" s="1"/>
  <c r="Z25" i="18"/>
  <c r="AA25" i="18" s="1"/>
  <c r="AB25" i="18" s="1"/>
  <c r="P25" i="18"/>
  <c r="BE35" i="46"/>
  <c r="AI31" i="46"/>
  <c r="AJ31" i="46" s="1"/>
  <c r="AB31" i="46"/>
  <c r="AL31" i="46"/>
  <c r="AM31" i="46" s="1"/>
  <c r="AN31" i="46" s="1"/>
  <c r="BE37" i="46"/>
  <c r="BB44" i="46"/>
  <c r="AL39" i="45"/>
  <c r="AB39" i="45"/>
  <c r="AI39" i="45"/>
  <c r="AJ39" i="45" s="1"/>
  <c r="AI20" i="45"/>
  <c r="AJ20" i="45" s="1"/>
  <c r="AL20" i="45"/>
  <c r="AM20" i="45" s="1"/>
  <c r="AN20" i="45" s="1"/>
  <c r="AB20" i="45"/>
  <c r="P13" i="18"/>
  <c r="W13" i="18"/>
  <c r="AQ12" i="46"/>
  <c r="AM12" i="46"/>
  <c r="AN12" i="46" s="1"/>
  <c r="X54" i="46" s="1"/>
  <c r="AW48" i="46"/>
  <c r="AW50" i="46" s="1"/>
  <c r="W15" i="18"/>
  <c r="X15" i="18" s="1"/>
  <c r="P15" i="18"/>
  <c r="Z15" i="18"/>
  <c r="AA15" i="18" s="1"/>
  <c r="AB15" i="18" s="1"/>
  <c r="AD33" i="18"/>
  <c r="AD23" i="18"/>
  <c r="AI42" i="46"/>
  <c r="AJ42" i="46" s="1"/>
  <c r="AB42" i="46"/>
  <c r="AL42" i="46"/>
  <c r="AM42" i="46" s="1"/>
  <c r="AN42" i="46" s="1"/>
  <c r="AP43" i="46" s="1"/>
  <c r="AL28" i="46"/>
  <c r="AM28" i="46" s="1"/>
  <c r="AN28" i="46" s="1"/>
  <c r="AB28" i="46"/>
  <c r="AI28" i="46"/>
  <c r="AJ28" i="46" s="1"/>
  <c r="BT14" i="46"/>
  <c r="BQ21" i="46"/>
  <c r="BT21" i="46" s="1"/>
  <c r="BE51" i="46"/>
  <c r="AM30" i="46"/>
  <c r="AN30" i="46" s="1"/>
  <c r="AU48" i="46"/>
  <c r="AU49" i="46" s="1"/>
  <c r="AU50" i="46" s="1"/>
  <c r="AQ30" i="46"/>
  <c r="BT15" i="46"/>
  <c r="Z36" i="18"/>
  <c r="AA36" i="18" s="1"/>
  <c r="AB36" i="18" s="1"/>
  <c r="AD37" i="18" s="1"/>
  <c r="P36" i="18"/>
  <c r="W36" i="18"/>
  <c r="X36" i="18" s="1"/>
  <c r="AL31" i="45"/>
  <c r="AM31" i="45" s="1"/>
  <c r="AN31" i="45" s="1"/>
  <c r="X54" i="45" s="1"/>
  <c r="Z62" i="45" s="1"/>
  <c r="AB31" i="45"/>
  <c r="AI31" i="45"/>
  <c r="AJ31" i="45" s="1"/>
  <c r="AP24" i="46"/>
  <c r="AM30" i="45"/>
  <c r="AN30" i="45" s="1"/>
  <c r="AS62" i="45"/>
  <c r="AS63" i="45" s="1"/>
  <c r="AQ30" i="45"/>
  <c r="BD16" i="45"/>
  <c r="BG16" i="45" s="1"/>
  <c r="BG14" i="45"/>
  <c r="W30" i="18"/>
  <c r="X30" i="18" s="1"/>
  <c r="P30" i="18"/>
  <c r="Z30" i="18"/>
  <c r="AA30" i="18" s="1"/>
  <c r="AB30" i="18" s="1"/>
  <c r="W10" i="18"/>
  <c r="X10" i="18" s="1"/>
  <c r="Z10" i="18"/>
  <c r="AA10" i="18" s="1"/>
  <c r="AB10" i="18" s="1"/>
  <c r="P10" i="18"/>
  <c r="W31" i="18"/>
  <c r="X31" i="18" s="1"/>
  <c r="Z31" i="18"/>
  <c r="AA31" i="18" s="1"/>
  <c r="AB31" i="18" s="1"/>
  <c r="P31" i="18"/>
  <c r="AB47" i="18" l="1"/>
  <c r="AD11" i="18"/>
  <c r="L52" i="18"/>
  <c r="AP19" i="46"/>
  <c r="X53" i="46"/>
  <c r="AO18" i="46"/>
  <c r="AP12" i="45"/>
  <c r="BE44" i="46"/>
  <c r="BB52" i="46"/>
  <c r="AO35" i="46"/>
  <c r="AC17" i="18"/>
  <c r="L53" i="18"/>
  <c r="AD18" i="18"/>
  <c r="AC29" i="18"/>
  <c r="X55" i="46"/>
  <c r="X56" i="45"/>
  <c r="Z64" i="45" s="1"/>
  <c r="L54" i="18"/>
  <c r="AC10" i="18"/>
  <c r="AT62" i="45"/>
  <c r="AT63" i="45" s="1"/>
  <c r="AM39" i="45"/>
  <c r="AN39" i="45" s="1"/>
  <c r="AQ39" i="45"/>
  <c r="X55" i="45"/>
  <c r="Z63" i="45" s="1"/>
  <c r="AC30" i="18"/>
  <c r="AD31" i="18" s="1"/>
  <c r="AD30" i="18"/>
  <c r="AP28" i="46"/>
  <c r="AO12" i="46"/>
  <c r="AP31" i="46"/>
  <c r="AC25" i="18"/>
  <c r="AC9" i="18"/>
  <c r="AC26" i="18"/>
  <c r="AD27" i="18"/>
  <c r="AC16" i="18"/>
  <c r="AC27" i="18"/>
  <c r="AP34" i="46"/>
  <c r="AP19" i="45"/>
  <c r="X53" i="45"/>
  <c r="Z61" i="45" s="1"/>
  <c r="AP12" i="46"/>
  <c r="AP28" i="45"/>
  <c r="AC31" i="18"/>
  <c r="AP31" i="45"/>
  <c r="AC36" i="18"/>
  <c r="AC15" i="18"/>
  <c r="AC18" i="18"/>
  <c r="AO19" i="46"/>
  <c r="AN48" i="46"/>
  <c r="AO28" i="46" s="1"/>
  <c r="AO42" i="46" l="1"/>
  <c r="AO33" i="46"/>
  <c r="AP35" i="46" s="1"/>
  <c r="AD48" i="18"/>
  <c r="AD47" i="18" s="1"/>
  <c r="AC34" i="18"/>
  <c r="AC21" i="18"/>
  <c r="AC32" i="18"/>
  <c r="AD34" i="18" s="1"/>
  <c r="AC35" i="18"/>
  <c r="AC20" i="18"/>
  <c r="AC11" i="18"/>
  <c r="AC28" i="18"/>
  <c r="AD28" i="18" s="1"/>
  <c r="AC24" i="18"/>
  <c r="AC37" i="18"/>
  <c r="AC41" i="18"/>
  <c r="AC42" i="18"/>
  <c r="AC38" i="18"/>
  <c r="AC40" i="18"/>
  <c r="AC43" i="18"/>
  <c r="AC19" i="18"/>
  <c r="AR48" i="46"/>
  <c r="AO27" i="46"/>
  <c r="AP29" i="46" s="1"/>
  <c r="AO41" i="46"/>
  <c r="AO46" i="46"/>
  <c r="AO16" i="46"/>
  <c r="AO10" i="46"/>
  <c r="AO26" i="46"/>
  <c r="AO29" i="46"/>
  <c r="AO21" i="46"/>
  <c r="AO25" i="46"/>
  <c r="AO38" i="46"/>
  <c r="AO44" i="46"/>
  <c r="AO9" i="46"/>
  <c r="AO32" i="46"/>
  <c r="AO43" i="46"/>
  <c r="AO37" i="46"/>
  <c r="AO22" i="46"/>
  <c r="AO36" i="46"/>
  <c r="AP39" i="46" s="1"/>
  <c r="AO17" i="46"/>
  <c r="AO20" i="46"/>
  <c r="AP20" i="46" s="1"/>
  <c r="AO11" i="46"/>
  <c r="AO39" i="46"/>
  <c r="AO30" i="46"/>
  <c r="AC8" i="18"/>
  <c r="AN48" i="45"/>
  <c r="AO31" i="46"/>
  <c r="AD19" i="18"/>
  <c r="AP38" i="45"/>
  <c r="BE52" i="46"/>
  <c r="BB53" i="46"/>
  <c r="BE53" i="46" s="1"/>
  <c r="AP32" i="46" l="1"/>
  <c r="AP25" i="46"/>
  <c r="AO48" i="46"/>
  <c r="AP13" i="46"/>
  <c r="AD24" i="18"/>
  <c r="AQ51" i="45"/>
  <c r="AR51" i="45" s="1"/>
  <c r="AO26" i="45"/>
  <c r="AO27" i="45"/>
  <c r="AP29" i="45" s="1"/>
  <c r="AO28" i="45"/>
  <c r="AO9" i="45"/>
  <c r="AO18" i="45"/>
  <c r="AO16" i="45"/>
  <c r="AO22" i="45"/>
  <c r="AO44" i="45"/>
  <c r="AO17" i="45"/>
  <c r="AO19" i="45"/>
  <c r="AO33" i="45"/>
  <c r="AP35" i="45" s="1"/>
  <c r="AO38" i="45"/>
  <c r="AO21" i="45"/>
  <c r="AO25" i="45"/>
  <c r="AO29" i="45"/>
  <c r="AO37" i="45"/>
  <c r="AO32" i="45"/>
  <c r="AO41" i="45"/>
  <c r="AP44" i="45" s="1"/>
  <c r="AO42" i="45"/>
  <c r="AO35" i="45"/>
  <c r="AO10" i="45"/>
  <c r="AO11" i="45"/>
  <c r="AO30" i="45"/>
  <c r="AO31" i="45"/>
  <c r="AO36" i="45"/>
  <c r="AP39" i="45" s="1"/>
  <c r="AO12" i="45"/>
  <c r="AO20" i="45"/>
  <c r="AO43" i="45"/>
  <c r="AD43" i="18"/>
  <c r="AO39" i="45"/>
  <c r="AD12" i="18"/>
  <c r="AC47" i="18"/>
  <c r="AP44" i="46"/>
  <c r="AD38" i="18"/>
  <c r="AP20" i="45" l="1"/>
  <c r="AP32" i="45"/>
  <c r="AO48" i="45"/>
  <c r="AP13" i="45"/>
  <c r="AP25" i="45"/>
</calcChain>
</file>

<file path=xl/sharedStrings.xml><?xml version="1.0" encoding="utf-8"?>
<sst xmlns="http://schemas.openxmlformats.org/spreadsheetml/2006/main" count="905" uniqueCount="299">
  <si>
    <t>CODE</t>
  </si>
  <si>
    <t>Miri</t>
  </si>
  <si>
    <t/>
  </si>
  <si>
    <t>Cu m</t>
  </si>
  <si>
    <t>Description</t>
  </si>
  <si>
    <t>Unit</t>
  </si>
  <si>
    <t>Features</t>
  </si>
  <si>
    <t>Activity</t>
  </si>
  <si>
    <t>Code</t>
  </si>
  <si>
    <t>Cond.1</t>
  </si>
  <si>
    <t>Cond.2</t>
  </si>
  <si>
    <t>Cond.3</t>
  </si>
  <si>
    <t>Paved Carriageway</t>
  </si>
  <si>
    <t>POTHOLE REPAIR</t>
  </si>
  <si>
    <t>COLD PATCH</t>
  </si>
  <si>
    <t>PAVEMENT RESURFACING</t>
  </si>
  <si>
    <t>REGULATE EXISTING PAVEMENT FOR RESURFACING</t>
  </si>
  <si>
    <t>CRACK SEALING</t>
  </si>
  <si>
    <t>MICRO SURFACING</t>
  </si>
  <si>
    <t>CHIP SEALING</t>
  </si>
  <si>
    <t>SHALLOW PATCHING</t>
  </si>
  <si>
    <t>DEEP PATCHING</t>
  </si>
  <si>
    <t>Unpaved Carriageway</t>
  </si>
  <si>
    <t>PATCH UNPAVED ROADWAY</t>
  </si>
  <si>
    <t>GRADE AND ROLL UNPAVED ROADWAY</t>
  </si>
  <si>
    <t>REGRAVEL UNPAVED ROADWAY</t>
  </si>
  <si>
    <t>-</t>
  </si>
  <si>
    <t>RESHAPE UNPAVED ROADWAY</t>
  </si>
  <si>
    <t>Ditch/Drain</t>
  </si>
  <si>
    <t>CLEAN, CLEAR DRAINS BY HAND</t>
  </si>
  <si>
    <t>DRAIN GRASS CUTTING</t>
  </si>
  <si>
    <t>CLEAN DRAINS ON SLOPE</t>
  </si>
  <si>
    <t>REINSTATE SIDE DITCH (MOTORGRADER)</t>
  </si>
  <si>
    <t>CLEAN, CLEAR, RESHAPE EARTH DRAIN BY EXCAVATOR</t>
  </si>
  <si>
    <t>Shoulder</t>
  </si>
  <si>
    <t>PATCH UNPAVED SHOULDER</t>
  </si>
  <si>
    <t>SHOULDER GRASS CUTTING</t>
  </si>
  <si>
    <t>RESHAPE UNPAVED SHOULDER</t>
  </si>
  <si>
    <t>REPLENISH UNPAVED SHOULDER</t>
  </si>
  <si>
    <t>Culverts</t>
  </si>
  <si>
    <t>INSPECT &amp; CLEAR CULVERT</t>
  </si>
  <si>
    <t>CLEAR CULVERT WATERWAY</t>
  </si>
  <si>
    <t>Bridges</t>
  </si>
  <si>
    <t>ROUTINE BRIDGE MAINTENANCE</t>
  </si>
  <si>
    <t>REPAIR TIMBER BRIDGE DECK</t>
  </si>
  <si>
    <t>CLEAR BRIDGE WATERWAY</t>
  </si>
  <si>
    <t>Road Furniture</t>
  </si>
  <si>
    <t>MAINTAIN ROAD FURNITURE</t>
  </si>
  <si>
    <t>PAVEMENT PAINTING</t>
  </si>
  <si>
    <t>ROAD KERB PAINTING</t>
  </si>
  <si>
    <t>ORDINARY THERMOPLASTIC MARKING</t>
  </si>
  <si>
    <t>All WEATHER THERMOPLASTIC MARKING</t>
  </si>
  <si>
    <t>OTHER ROAD MAINTENANCE</t>
  </si>
  <si>
    <t>CLEAR ROAD RESERVE</t>
  </si>
  <si>
    <t>NON-ROAD MAINTENANCE ACTIVITIES</t>
  </si>
  <si>
    <t xml:space="preserve">EMERGENCY MAINTENANCE </t>
  </si>
  <si>
    <t>STRUCTURE DISTRESS INVESTIGATION</t>
  </si>
  <si>
    <t>PROVISION OF PROJECT VEHICLES</t>
  </si>
  <si>
    <t>Unpaved Carraigeway</t>
  </si>
  <si>
    <t>Drains</t>
  </si>
  <si>
    <t>sqm</t>
  </si>
  <si>
    <t>1000 sqm</t>
  </si>
  <si>
    <t>m</t>
  </si>
  <si>
    <t>km</t>
  </si>
  <si>
    <t>nos.</t>
  </si>
  <si>
    <t>man-hrs</t>
  </si>
  <si>
    <t xml:space="preserve">km </t>
  </si>
  <si>
    <t>lumpsum</t>
  </si>
  <si>
    <t>APPENDIX B12: SUMMARY OF RMMS UNIT RATE</t>
  </si>
  <si>
    <t>ACTIVTY</t>
  </si>
  <si>
    <t>DESCRIPTION</t>
  </si>
  <si>
    <t>RMU BATU NIAH</t>
  </si>
  <si>
    <t>RMU MIRI</t>
  </si>
  <si>
    <t>Ancillary</t>
  </si>
  <si>
    <t>PERFORMANCE-BASED CONTRACT FOR THE LONG-TERM MANAGEMENT AND MAINTENANCE OF STATE ROADS IN SARAWAK</t>
  </si>
  <si>
    <t>PROPOSED ANNUAL WORK PROGRAMME AND BUDGET 2021 (PROPOSED PLANNED BUDGET)</t>
  </si>
  <si>
    <t>APPENDIX B13-A: RMU BATU NIAH</t>
  </si>
  <si>
    <t>DESIRED BUDGET DETAILS</t>
  </si>
  <si>
    <t>Average Daily Production</t>
  </si>
  <si>
    <t>PLANNED BUDGET DETAILS</t>
  </si>
  <si>
    <t>PLANNED BUDGET</t>
  </si>
  <si>
    <t>Inventory Condition</t>
  </si>
  <si>
    <t xml:space="preserve">Total Quantity </t>
  </si>
  <si>
    <t>Service Level</t>
  </si>
  <si>
    <t>Annual Work Quantity</t>
  </si>
  <si>
    <t>Crew Days Required (days)</t>
  </si>
  <si>
    <t>Crew Day Cost Breakdown (RM)</t>
  </si>
  <si>
    <t>Crew Day Cost (RM)</t>
  </si>
  <si>
    <t>% of Desired</t>
  </si>
  <si>
    <t>Crew Days Planned</t>
  </si>
  <si>
    <t>By Activities</t>
  </si>
  <si>
    <t>By Features</t>
  </si>
  <si>
    <t>Total</t>
  </si>
  <si>
    <t>Labour</t>
  </si>
  <si>
    <t>Equipment</t>
  </si>
  <si>
    <t>Materials</t>
  </si>
  <si>
    <t>ADP</t>
  </si>
  <si>
    <t>Desired</t>
  </si>
  <si>
    <t>Planned</t>
  </si>
  <si>
    <t>Sub-total (RM)</t>
  </si>
  <si>
    <t>%</t>
  </si>
  <si>
    <t>Pothole Repair</t>
  </si>
  <si>
    <t>naik</t>
  </si>
  <si>
    <t>Cold Patch</t>
  </si>
  <si>
    <t>Pavement Resurfacing</t>
  </si>
  <si>
    <t>turun</t>
  </si>
  <si>
    <t>Regulate Existing Pavement For Resurfacing</t>
  </si>
  <si>
    <t>remain</t>
  </si>
  <si>
    <t>Crack Sealing</t>
  </si>
  <si>
    <t>Micro Surfacing</t>
  </si>
  <si>
    <t>Chip Sealing</t>
  </si>
  <si>
    <t>Shallow Patching</t>
  </si>
  <si>
    <t>Deep Patching</t>
  </si>
  <si>
    <t>Patch Unpaved Roadway</t>
  </si>
  <si>
    <t>Reshape Unpaved Roadway</t>
  </si>
  <si>
    <t>Regravel Unpaved Roadway</t>
  </si>
  <si>
    <t>Grade &amp; Roll Unpaved Roadway</t>
  </si>
  <si>
    <t>Clear Drain Waterway</t>
  </si>
  <si>
    <t>Drain Grass Cutting</t>
  </si>
  <si>
    <t>Clean Drains On Slope</t>
  </si>
  <si>
    <t>Reinstate Side Ditch (Grader)</t>
  </si>
  <si>
    <t>Clean, Clear, Reshape Earth Drain By Excavator</t>
  </si>
  <si>
    <t>Patch Unpaved Shoulder</t>
  </si>
  <si>
    <t>Shoulder Grass Cutting</t>
  </si>
  <si>
    <t>Reshape Unpaved Shoulder</t>
  </si>
  <si>
    <t>Replenish Unpaved Shoulder</t>
  </si>
  <si>
    <t>Routine Culvert Maintenance</t>
  </si>
  <si>
    <t>Clear Culvert Waterway</t>
  </si>
  <si>
    <t>Routine Bridge Maintenance</t>
  </si>
  <si>
    <t>Repair Timber Bridge Deck</t>
  </si>
  <si>
    <t>Clear Bridge Waterway</t>
  </si>
  <si>
    <t>Maintain Road Furniture</t>
  </si>
  <si>
    <t>Pavement Painting</t>
  </si>
  <si>
    <t>Road Kerb Painting</t>
  </si>
  <si>
    <t>Ordinary Thermoplastic Marking</t>
  </si>
  <si>
    <t>All Weather Thermoplastic Marking</t>
  </si>
  <si>
    <t>Other Road Maintenance</t>
  </si>
  <si>
    <t>Clear Road Reserve</t>
  </si>
  <si>
    <t>Non-Road Maintenance Activities</t>
  </si>
  <si>
    <t>Emergency Maintenance</t>
  </si>
  <si>
    <t>Structure Distress Investigation</t>
  </si>
  <si>
    <t>Provision Of Project Vehicles</t>
  </si>
  <si>
    <t>unit</t>
  </si>
  <si>
    <t xml:space="preserve">GRAND TOTAL :  RM </t>
  </si>
  <si>
    <t>Date</t>
  </si>
  <si>
    <t>Rev.</t>
  </si>
  <si>
    <t>MAINTENANCE CATEGOTY</t>
  </si>
  <si>
    <t>Proposed by:</t>
  </si>
  <si>
    <t>Facilitated by:</t>
  </si>
  <si>
    <t>Agreed by:</t>
  </si>
  <si>
    <t>SERVICE PROVIDER</t>
  </si>
  <si>
    <t>ENGINEERING CONSULTANT</t>
  </si>
  <si>
    <t>JKR DIVISIONAL OFFICE</t>
  </si>
  <si>
    <r>
      <t>ADJUSTABLE QUANTITY:</t>
    </r>
    <r>
      <rPr>
        <b/>
        <sz val="9"/>
        <color theme="1"/>
        <rFont val="Arial Narrow"/>
        <family val="2"/>
      </rPr>
      <t xml:space="preserve"> RM</t>
    </r>
  </si>
  <si>
    <t>Authorised Name, Signature &amp; Chop:</t>
  </si>
  <si>
    <r>
      <rPr>
        <sz val="9"/>
        <color theme="1"/>
        <rFont val="Arial Narrow"/>
        <family val="2"/>
      </rPr>
      <t>ROUTINE MAINTENANCE:</t>
    </r>
    <r>
      <rPr>
        <b/>
        <sz val="9"/>
        <color theme="1"/>
        <rFont val="Arial Narrow"/>
        <family val="2"/>
      </rPr>
      <t xml:space="preserve"> RM</t>
    </r>
  </si>
  <si>
    <r>
      <rPr>
        <sz val="9"/>
        <color theme="1"/>
        <rFont val="Arial Narrow"/>
        <family val="2"/>
      </rPr>
      <t>PERIODIC MAINTENANCE:</t>
    </r>
    <r>
      <rPr>
        <b/>
        <sz val="9"/>
        <color theme="1"/>
        <rFont val="Arial Narrow"/>
        <family val="2"/>
      </rPr>
      <t xml:space="preserve"> RM</t>
    </r>
  </si>
  <si>
    <r>
      <rPr>
        <sz val="9"/>
        <color theme="1"/>
        <rFont val="Arial Narrow"/>
        <family val="2"/>
      </rPr>
      <t>OTHER MAINTENANCE:</t>
    </r>
    <r>
      <rPr>
        <b/>
        <sz val="9"/>
        <color theme="1"/>
        <rFont val="Arial Narrow"/>
        <family val="2"/>
      </rPr>
      <t xml:space="preserve"> RM</t>
    </r>
  </si>
  <si>
    <t>Q353</t>
  </si>
  <si>
    <t>Q290</t>
  </si>
  <si>
    <t>Q3073</t>
  </si>
  <si>
    <t>Q645</t>
  </si>
  <si>
    <t>Q1231 A</t>
  </si>
  <si>
    <t>Q21-4</t>
  </si>
  <si>
    <t>Q285</t>
  </si>
  <si>
    <t>Q289</t>
  </si>
  <si>
    <t>Q643</t>
  </si>
  <si>
    <t>Q287</t>
  </si>
  <si>
    <t>Q2007</t>
  </si>
  <si>
    <t>Q283</t>
  </si>
  <si>
    <t>Q291</t>
  </si>
  <si>
    <t>Miri Division</t>
  </si>
  <si>
    <t>RMU Miri</t>
  </si>
  <si>
    <t>RMU Niah</t>
  </si>
  <si>
    <t>Total Length =</t>
  </si>
  <si>
    <t>Total Cost =</t>
  </si>
  <si>
    <t>Operation Cost =</t>
  </si>
  <si>
    <t>Overhead Cost =</t>
  </si>
  <si>
    <t>REVISION:</t>
  </si>
  <si>
    <t>ISSUE DATE:</t>
  </si>
  <si>
    <t>Total Quantity</t>
  </si>
  <si>
    <t>PROPOSED ANNUAL WORK PROGRAMME AND BUDGET 2022 (PROPOSED PLANNED BUDGET)</t>
  </si>
  <si>
    <t>SUMMARY FINDING as SEPTEMBER 2021</t>
  </si>
  <si>
    <t>Condition 1</t>
  </si>
  <si>
    <t>Condition 2</t>
  </si>
  <si>
    <t>Condition 3</t>
  </si>
  <si>
    <t>Road Feature</t>
  </si>
  <si>
    <t>suai feeder and ulu niah conditio n3</t>
  </si>
  <si>
    <t>Centerline Marking</t>
  </si>
  <si>
    <t>Edgeline Marking</t>
  </si>
  <si>
    <t>Ditch</t>
  </si>
  <si>
    <t>Drain</t>
  </si>
  <si>
    <t>X 3</t>
  </si>
  <si>
    <t>Signages</t>
  </si>
  <si>
    <t>X 2</t>
  </si>
  <si>
    <t>TOTAL</t>
  </si>
  <si>
    <t>Guardrails</t>
  </si>
  <si>
    <t>Footpath/Kerbs</t>
  </si>
  <si>
    <t>Roadstuds</t>
  </si>
  <si>
    <t>percentage of signages + guardrail</t>
  </si>
  <si>
    <t>percentage of ROADLINE MARKING</t>
  </si>
  <si>
    <t>condition 1</t>
  </si>
  <si>
    <t>Percentage shoulder</t>
  </si>
  <si>
    <t>TOTAL ROADLINE MARKING</t>
  </si>
  <si>
    <t>CONDITION1</t>
  </si>
  <si>
    <t>CONDITION 2</t>
  </si>
  <si>
    <t>CONDITION 3</t>
  </si>
  <si>
    <t>DIFFERENT</t>
  </si>
  <si>
    <t>Percent</t>
  </si>
  <si>
    <t>ICA SUMMARY 2021</t>
  </si>
  <si>
    <t xml:space="preserve">condition </t>
  </si>
  <si>
    <t>Feature</t>
  </si>
  <si>
    <t>Carriageway</t>
  </si>
  <si>
    <t>shoulder</t>
  </si>
  <si>
    <t>x 6</t>
  </si>
  <si>
    <t>Pavement</t>
  </si>
  <si>
    <t>length</t>
  </si>
  <si>
    <t>earth drain</t>
  </si>
  <si>
    <t>cond 1</t>
  </si>
  <si>
    <t xml:space="preserve">cond 2 </t>
  </si>
  <si>
    <t>cond 3</t>
  </si>
  <si>
    <t>concrete drain</t>
  </si>
  <si>
    <t xml:space="preserve">skim </t>
  </si>
  <si>
    <t>total new</t>
  </si>
  <si>
    <t>tksb 2020</t>
  </si>
  <si>
    <t>tksb 2021</t>
  </si>
  <si>
    <t>Tottal 202</t>
  </si>
  <si>
    <t xml:space="preserve">cond 1 </t>
  </si>
  <si>
    <t>cond 2</t>
  </si>
  <si>
    <t>now</t>
  </si>
  <si>
    <t>skim</t>
  </si>
  <si>
    <t>APPENDIX B13-B: RMU MIRI</t>
  </si>
  <si>
    <t>Total Paved Miri</t>
  </si>
  <si>
    <t>Total Unpaved Miri</t>
  </si>
  <si>
    <t>REFER TO PCI CONDITION PERCENTAGE</t>
  </si>
  <si>
    <t>Paved</t>
  </si>
  <si>
    <t>total length</t>
  </si>
  <si>
    <t>cond1</t>
  </si>
  <si>
    <t>cond2</t>
  </si>
  <si>
    <t>cond3</t>
  </si>
  <si>
    <t>Beluru</t>
  </si>
  <si>
    <t>Q2007 2D A</t>
  </si>
  <si>
    <t xml:space="preserve">Marudi </t>
  </si>
  <si>
    <t>Q2007 2D B</t>
  </si>
  <si>
    <t>Bekenu</t>
  </si>
  <si>
    <t>Bario Mulu</t>
  </si>
  <si>
    <t>JEGAN</t>
  </si>
  <si>
    <t>LUBOK PENINSULA</t>
  </si>
  <si>
    <t>Unpaved</t>
  </si>
  <si>
    <t>Sg Rait</t>
  </si>
  <si>
    <t>Pa ramapoh</t>
  </si>
  <si>
    <t>MUMONG ROAD</t>
  </si>
  <si>
    <t>Cond 1</t>
  </si>
  <si>
    <t>Nusah</t>
  </si>
  <si>
    <t>Q1231 B</t>
  </si>
  <si>
    <t>Cond 2</t>
  </si>
  <si>
    <t>Total 2021</t>
  </si>
  <si>
    <t>Q653</t>
  </si>
  <si>
    <t>Cond 3</t>
  </si>
  <si>
    <t>Q653 1</t>
  </si>
  <si>
    <t>X3</t>
  </si>
  <si>
    <t>beluru feeder</t>
  </si>
  <si>
    <t>X4</t>
  </si>
  <si>
    <t>jegan</t>
  </si>
  <si>
    <t>saeh</t>
  </si>
  <si>
    <t xml:space="preserve">Total </t>
  </si>
  <si>
    <t>total - beluru feeder</t>
  </si>
  <si>
    <t>beluru feeder 2021</t>
  </si>
  <si>
    <t>total roadline</t>
  </si>
  <si>
    <t>TOTAL MIRI</t>
  </si>
  <si>
    <t>total 2021</t>
  </si>
  <si>
    <t>condition 2</t>
  </si>
  <si>
    <t>MINUS</t>
  </si>
  <si>
    <t>total ED CD</t>
  </si>
  <si>
    <t>condition 3</t>
  </si>
  <si>
    <t>LONG JEGAN</t>
  </si>
  <si>
    <t>minus</t>
  </si>
  <si>
    <t>diff</t>
  </si>
  <si>
    <t>m2</t>
  </si>
  <si>
    <t>cum</t>
  </si>
  <si>
    <r>
      <t>ADJUSTABLE QUANTITY:</t>
    </r>
    <r>
      <rPr>
        <b/>
        <sz val="9"/>
        <rFont val="Arial Narrow"/>
        <family val="2"/>
      </rPr>
      <t xml:space="preserve"> RM</t>
    </r>
  </si>
  <si>
    <t>TOTAL MINUS X2</t>
  </si>
  <si>
    <r>
      <rPr>
        <sz val="9"/>
        <rFont val="Arial Narrow"/>
        <family val="2"/>
      </rPr>
      <t>ROUTINE MAINTENANCE:</t>
    </r>
    <r>
      <rPr>
        <b/>
        <sz val="9"/>
        <rFont val="Arial Narrow"/>
        <family val="2"/>
      </rPr>
      <t xml:space="preserve"> RM</t>
    </r>
  </si>
  <si>
    <t>TOTAL ALL</t>
  </si>
  <si>
    <t>`</t>
  </si>
  <si>
    <r>
      <rPr>
        <sz val="9"/>
        <rFont val="Arial Narrow"/>
        <family val="2"/>
      </rPr>
      <t>PERIODIC MAINTENANCE:</t>
    </r>
    <r>
      <rPr>
        <b/>
        <sz val="9"/>
        <rFont val="Arial Narrow"/>
        <family val="2"/>
      </rPr>
      <t xml:space="preserve"> RM</t>
    </r>
  </si>
  <si>
    <r>
      <rPr>
        <sz val="9"/>
        <rFont val="Arial Narrow"/>
        <family val="2"/>
      </rPr>
      <t>OTHER MAINTENANCE:</t>
    </r>
    <r>
      <rPr>
        <b/>
        <sz val="9"/>
        <rFont val="Arial Narrow"/>
        <family val="2"/>
      </rPr>
      <t xml:space="preserve"> RM</t>
    </r>
  </si>
  <si>
    <t>minus shoulder widen</t>
  </si>
  <si>
    <t>Culvert Nos.</t>
  </si>
  <si>
    <t>refound</t>
  </si>
  <si>
    <t>total shoulder</t>
  </si>
  <si>
    <t>earth shoulder</t>
  </si>
  <si>
    <t>Jegan</t>
  </si>
  <si>
    <t>Saeh</t>
  </si>
  <si>
    <t>ADD</t>
  </si>
  <si>
    <t>kerb</t>
  </si>
  <si>
    <t>MAINTENANCE CATEGORY</t>
  </si>
  <si>
    <t>Endorsed by:</t>
  </si>
  <si>
    <t>JKR SARAWAK HEAD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</si>
</sst>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164" formatCode="_-&quot;RM&quot;* #,##0.00_-;\-&quot;RM&quot;* #,##0.00_-;_-&quot;RM&quot;* &quot;-&quot;??_-;_-@_-"/>
    <numFmt numFmtId="165" formatCode="_-* #,##0.00_-;\-* #,##0.00_-;_-* &quot;-&quot;??_-;_-@_-"/>
    <numFmt numFmtId="166" formatCode="_(* #,##0.00_);_(* \(#,##0.00\);_(* &quot;-&quot;??_);_(@_)"/>
    <numFmt numFmtId="168" formatCode="0\ &quot;km&quot;"/>
    <numFmt numFmtId="169" formatCode="_(* #,##0_);_(* \(#,##0\);_(* &quot;-&quot;??_);_(@_)"/>
    <numFmt numFmtId="170" formatCode="0.0%"/>
    <numFmt numFmtId="171" formatCode="0\ &quot;1000m²&quot;"/>
    <numFmt numFmtId="172" formatCode="&quot;( &quot;0.0%&quot; )&quot;"/>
    <numFmt numFmtId="173" formatCode="0\ &quot;no&quot;"/>
    <numFmt numFmtId="174" formatCode="0\ &quot;m&quot;"/>
    <numFmt numFmtId="175" formatCode="0\ &quot;unit&quot;"/>
    <numFmt numFmtId="177" formatCode="0.00\ &quot;km&quot;"/>
    <numFmt numFmtId="178" formatCode="0.00\ &quot;1000m²&quot;"/>
    <numFmt numFmtId="179" formatCode="0.000"/>
    <numFmt numFmtId="180" formatCode="0;;;@"/>
    <numFmt numFmtId="181" formatCode="&quot;RM&quot;#,##0.00"/>
    <numFmt numFmtId="182" formatCode="&quot;RM&quot;#,##0.000"/>
    <numFmt numFmtId="183" formatCode="d\ mmmm\ yyyy"/>
    <numFmt numFmtId="184" formatCode="0.0\ &quot;km&quot;"/>
  </numFmts>
  <fonts count="5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b/>
      <sz val="10"/>
      <name val="Arial"/>
      <family val="2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u/>
      <sz val="16"/>
      <name val="Arial"/>
      <family val="2"/>
    </font>
    <font>
      <sz val="9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 Narrow"/>
      <family val="2"/>
    </font>
    <font>
      <b/>
      <sz val="14"/>
      <name val="Arial Narrow"/>
      <family val="2"/>
    </font>
    <font>
      <sz val="12"/>
      <name val="Arial Narrow"/>
      <family val="2"/>
    </font>
    <font>
      <sz val="9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sz val="8"/>
      <name val="Arial Narrow"/>
      <family val="2"/>
    </font>
    <font>
      <i/>
      <sz val="9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2"/>
      <name val="Arial Narrow"/>
      <family val="2"/>
    </font>
    <font>
      <sz val="11"/>
      <name val="Arial Narrow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6"/>
      <color theme="1"/>
      <name val="Arial Narrow"/>
      <family val="2"/>
    </font>
    <font>
      <b/>
      <sz val="7"/>
      <color theme="1"/>
      <name val="Arial Narrow"/>
      <family val="2"/>
    </font>
    <font>
      <sz val="10"/>
      <name val="Calibri"/>
      <family val="2"/>
      <scheme val="minor"/>
    </font>
    <font>
      <i/>
      <sz val="6"/>
      <color theme="1"/>
      <name val="Arial Narrow"/>
      <family val="2"/>
    </font>
    <font>
      <i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Arial Narrow"/>
      <family val="2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6"/>
      <name val="Arial Narrow"/>
      <family val="2"/>
    </font>
    <font>
      <b/>
      <sz val="7"/>
      <name val="Arial Narrow"/>
      <family val="2"/>
    </font>
    <font>
      <b/>
      <u/>
      <sz val="15"/>
      <name val="Arial"/>
      <family val="2"/>
    </font>
    <font>
      <sz val="8"/>
      <color theme="1"/>
      <name val="Arial Narrow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u/>
      <sz val="12"/>
      <name val="Arial Narrow"/>
      <family val="2"/>
    </font>
    <font>
      <b/>
      <u/>
      <sz val="10"/>
      <name val="Arial Narrow"/>
      <family val="2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79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1" fillId="0" borderId="0"/>
    <xf numFmtId="0" fontId="1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8" fillId="0" borderId="0"/>
    <xf numFmtId="165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0" fontId="5" fillId="0" borderId="0"/>
    <xf numFmtId="0" fontId="5" fillId="0" borderId="0"/>
    <xf numFmtId="0" fontId="28" fillId="0" borderId="0"/>
    <xf numFmtId="0" fontId="28" fillId="0" borderId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0" fontId="5" fillId="0" borderId="0"/>
    <xf numFmtId="0" fontId="1" fillId="0" borderId="0"/>
    <xf numFmtId="165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0" fontId="28" fillId="0" borderId="0"/>
    <xf numFmtId="165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9" fillId="0" borderId="0"/>
  </cellStyleXfs>
  <cellXfs count="650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0" fontId="1" fillId="0" borderId="0" xfId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31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4" fillId="0" borderId="32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4" fillId="0" borderId="36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3" xfId="2" applyFont="1" applyBorder="1" applyAlignment="1">
      <alignment horizontal="left" vertical="center"/>
    </xf>
    <xf numFmtId="0" fontId="4" fillId="0" borderId="19" xfId="2" applyFont="1" applyBorder="1" applyAlignment="1">
      <alignment horizontal="left" vertical="center"/>
    </xf>
    <xf numFmtId="0" fontId="4" fillId="0" borderId="15" xfId="2" applyFont="1" applyBorder="1" applyAlignment="1">
      <alignment horizontal="left" vertical="center"/>
    </xf>
    <xf numFmtId="0" fontId="4" fillId="0" borderId="38" xfId="2" applyFont="1" applyBorder="1" applyAlignment="1">
      <alignment horizontal="left" vertical="center"/>
    </xf>
    <xf numFmtId="0" fontId="4" fillId="0" borderId="17" xfId="2" applyFont="1" applyBorder="1" applyAlignment="1">
      <alignment horizontal="left" vertical="center"/>
    </xf>
    <xf numFmtId="0" fontId="4" fillId="0" borderId="8" xfId="2" applyFont="1" applyBorder="1" applyAlignment="1">
      <alignment horizontal="left" vertical="center"/>
    </xf>
    <xf numFmtId="0" fontId="4" fillId="0" borderId="21" xfId="2" applyFont="1" applyBorder="1" applyAlignment="1">
      <alignment horizontal="left" vertical="center"/>
    </xf>
    <xf numFmtId="0" fontId="4" fillId="0" borderId="5" xfId="2" applyFont="1" applyBorder="1" applyAlignment="1">
      <alignment horizontal="left" vertical="center"/>
    </xf>
    <xf numFmtId="0" fontId="4" fillId="0" borderId="2" xfId="2" applyFont="1" applyBorder="1" applyAlignment="1">
      <alignment horizontal="left" vertical="center"/>
    </xf>
    <xf numFmtId="0" fontId="3" fillId="3" borderId="4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/>
    </xf>
    <xf numFmtId="0" fontId="3" fillId="3" borderId="15" xfId="1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1" fillId="0" borderId="24" xfId="0" applyFont="1" applyBorder="1" applyAlignment="1">
      <alignment horizontal="center"/>
    </xf>
    <xf numFmtId="0" fontId="9" fillId="4" borderId="28" xfId="0" applyFont="1" applyFill="1" applyBorder="1" applyAlignment="1">
      <alignment horizontal="center" vertical="center"/>
    </xf>
    <xf numFmtId="0" fontId="19" fillId="4" borderId="29" xfId="0" applyFont="1" applyFill="1" applyBorder="1" applyAlignment="1">
      <alignment horizontal="center" vertical="center"/>
    </xf>
    <xf numFmtId="0" fontId="19" fillId="4" borderId="47" xfId="0" applyFont="1" applyFill="1" applyBorder="1" applyAlignment="1">
      <alignment horizontal="center" vertical="center"/>
    </xf>
    <xf numFmtId="0" fontId="19" fillId="4" borderId="39" xfId="0" applyFont="1" applyFill="1" applyBorder="1" applyAlignment="1">
      <alignment horizontal="center" vertical="center"/>
    </xf>
    <xf numFmtId="0" fontId="19" fillId="4" borderId="48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 wrapText="1"/>
    </xf>
    <xf numFmtId="0" fontId="18" fillId="4" borderId="21" xfId="1" applyFont="1" applyFill="1" applyBorder="1" applyAlignment="1">
      <alignment horizontal="center" vertical="center" wrapText="1"/>
    </xf>
    <xf numFmtId="0" fontId="18" fillId="4" borderId="19" xfId="1" applyFont="1" applyFill="1" applyBorder="1" applyAlignment="1">
      <alignment horizontal="center" vertical="center" wrapText="1"/>
    </xf>
    <xf numFmtId="0" fontId="19" fillId="4" borderId="42" xfId="1" applyFont="1" applyFill="1" applyBorder="1" applyAlignment="1">
      <alignment horizontal="center" vertical="center" wrapText="1"/>
    </xf>
    <xf numFmtId="0" fontId="19" fillId="4" borderId="49" xfId="1" applyFont="1" applyFill="1" applyBorder="1" applyAlignment="1">
      <alignment horizontal="center" vertical="center" wrapText="1"/>
    </xf>
    <xf numFmtId="0" fontId="9" fillId="4" borderId="42" xfId="0" applyFont="1" applyFill="1" applyBorder="1" applyAlignment="1">
      <alignment horizontal="center" vertical="center" wrapText="1"/>
    </xf>
    <xf numFmtId="0" fontId="9" fillId="4" borderId="46" xfId="0" applyFont="1" applyFill="1" applyBorder="1" applyAlignment="1">
      <alignment horizontal="center" vertical="center"/>
    </xf>
    <xf numFmtId="0" fontId="8" fillId="0" borderId="25" xfId="2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/>
    </xf>
    <xf numFmtId="0" fontId="8" fillId="0" borderId="60" xfId="2" applyFont="1" applyBorder="1" applyAlignment="1">
      <alignment horizontal="center" vertical="center"/>
    </xf>
    <xf numFmtId="0" fontId="8" fillId="0" borderId="63" xfId="2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6" fillId="0" borderId="0" xfId="0" applyFont="1"/>
    <xf numFmtId="0" fontId="23" fillId="0" borderId="0" xfId="0" applyFont="1"/>
    <xf numFmtId="166" fontId="18" fillId="5" borderId="29" xfId="3" applyFont="1" applyFill="1" applyBorder="1"/>
    <xf numFmtId="170" fontId="16" fillId="4" borderId="50" xfId="4" applyNumberFormat="1" applyFont="1" applyFill="1" applyBorder="1"/>
    <xf numFmtId="0" fontId="2" fillId="0" borderId="0" xfId="0" applyFont="1" applyAlignment="1">
      <alignment horizontal="right"/>
    </xf>
    <xf numFmtId="166" fontId="2" fillId="0" borderId="10" xfId="3" applyFont="1" applyBorder="1"/>
    <xf numFmtId="0" fontId="21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>
      <alignment horizontal="right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25" fillId="0" borderId="0" xfId="0" applyFont="1"/>
    <xf numFmtId="0" fontId="12" fillId="0" borderId="0" xfId="0" applyFont="1"/>
    <xf numFmtId="0" fontId="4" fillId="0" borderId="0" xfId="0" applyFont="1" applyAlignment="1" applyProtection="1">
      <alignment horizontal="left" vertical="center"/>
      <protection locked="0"/>
    </xf>
    <xf numFmtId="164" fontId="4" fillId="0" borderId="7" xfId="5" applyFont="1" applyFill="1" applyBorder="1" applyAlignment="1">
      <alignment horizontal="left" vertical="center"/>
    </xf>
    <xf numFmtId="164" fontId="4" fillId="0" borderId="23" xfId="5" applyFont="1" applyFill="1" applyBorder="1" applyAlignment="1">
      <alignment horizontal="left" vertical="center"/>
    </xf>
    <xf numFmtId="164" fontId="4" fillId="0" borderId="4" xfId="5" applyFont="1" applyFill="1" applyBorder="1" applyAlignment="1">
      <alignment horizontal="left" vertical="center"/>
    </xf>
    <xf numFmtId="164" fontId="4" fillId="0" borderId="1" xfId="5" applyFont="1" applyFill="1" applyBorder="1" applyAlignment="1">
      <alignment horizontal="left" vertical="center"/>
    </xf>
    <xf numFmtId="0" fontId="3" fillId="3" borderId="15" xfId="1" applyFont="1" applyFill="1" applyBorder="1" applyAlignment="1">
      <alignment horizontal="center" vertical="center" wrapText="1"/>
    </xf>
    <xf numFmtId="164" fontId="4" fillId="0" borderId="13" xfId="5" applyFont="1" applyFill="1" applyBorder="1" applyAlignment="1">
      <alignment horizontal="left" vertical="center"/>
    </xf>
    <xf numFmtId="164" fontId="4" fillId="0" borderId="19" xfId="5" applyFont="1" applyFill="1" applyBorder="1" applyAlignment="1">
      <alignment horizontal="left" vertical="center"/>
    </xf>
    <xf numFmtId="164" fontId="4" fillId="0" borderId="15" xfId="5" applyFont="1" applyFill="1" applyBorder="1" applyAlignment="1">
      <alignment horizontal="left" vertical="center"/>
    </xf>
    <xf numFmtId="164" fontId="4" fillId="0" borderId="17" xfId="5" applyFont="1" applyFill="1" applyBorder="1" applyAlignment="1">
      <alignment horizontal="left" vertical="center"/>
    </xf>
    <xf numFmtId="0" fontId="4" fillId="0" borderId="37" xfId="0" applyFont="1" applyBorder="1"/>
    <xf numFmtId="0" fontId="18" fillId="4" borderId="39" xfId="1" applyFont="1" applyFill="1" applyBorder="1" applyAlignment="1">
      <alignment horizontal="center" vertical="center" wrapText="1"/>
    </xf>
    <xf numFmtId="0" fontId="18" fillId="4" borderId="28" xfId="1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1" fillId="0" borderId="31" xfId="2" applyFont="1" applyBorder="1" applyAlignment="1">
      <alignment horizontal="center" vertical="center"/>
    </xf>
    <xf numFmtId="0" fontId="21" fillId="0" borderId="36" xfId="2" applyFont="1" applyBorder="1" applyAlignment="1">
      <alignment horizontal="center" vertical="center"/>
    </xf>
    <xf numFmtId="0" fontId="21" fillId="0" borderId="30" xfId="2" applyFont="1" applyBorder="1" applyAlignment="1">
      <alignment horizontal="center" vertical="center"/>
    </xf>
    <xf numFmtId="0" fontId="21" fillId="0" borderId="57" xfId="2" applyFont="1" applyBorder="1" applyAlignment="1">
      <alignment horizontal="left" vertical="center"/>
    </xf>
    <xf numFmtId="166" fontId="21" fillId="0" borderId="22" xfId="3" applyFont="1" applyFill="1" applyBorder="1" applyAlignment="1" applyProtection="1">
      <alignment horizontal="center" vertical="center"/>
      <protection locked="0"/>
    </xf>
    <xf numFmtId="166" fontId="21" fillId="0" borderId="21" xfId="3" applyFont="1" applyFill="1" applyBorder="1" applyAlignment="1" applyProtection="1">
      <alignment horizontal="center" vertical="center"/>
      <protection locked="0"/>
    </xf>
    <xf numFmtId="166" fontId="21" fillId="0" borderId="23" xfId="3" applyFont="1" applyFill="1" applyBorder="1" applyAlignment="1" applyProtection="1">
      <alignment horizontal="center" vertical="center"/>
      <protection locked="0"/>
    </xf>
    <xf numFmtId="0" fontId="21" fillId="0" borderId="45" xfId="0" applyFont="1" applyBorder="1" applyAlignment="1">
      <alignment horizontal="center" vertical="center"/>
    </xf>
    <xf numFmtId="0" fontId="21" fillId="0" borderId="58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69" fontId="21" fillId="0" borderId="45" xfId="3" applyNumberFormat="1" applyFont="1" applyFill="1" applyBorder="1" applyAlignment="1">
      <alignment vertical="center"/>
    </xf>
    <xf numFmtId="169" fontId="21" fillId="0" borderId="41" xfId="3" applyNumberFormat="1" applyFont="1" applyFill="1" applyBorder="1" applyAlignment="1">
      <alignment vertical="center"/>
    </xf>
    <xf numFmtId="166" fontId="21" fillId="0" borderId="44" xfId="3" applyFont="1" applyFill="1" applyBorder="1" applyAlignment="1">
      <alignment vertical="center"/>
    </xf>
    <xf numFmtId="166" fontId="21" fillId="0" borderId="22" xfId="3" applyFont="1" applyFill="1" applyBorder="1" applyAlignment="1">
      <alignment horizontal="left" vertical="center"/>
    </xf>
    <xf numFmtId="166" fontId="21" fillId="0" borderId="21" xfId="3" applyFont="1" applyFill="1" applyBorder="1" applyAlignment="1">
      <alignment horizontal="left" vertical="center"/>
    </xf>
    <xf numFmtId="166" fontId="21" fillId="0" borderId="19" xfId="3" applyFont="1" applyFill="1" applyBorder="1" applyAlignment="1">
      <alignment horizontal="left" vertical="center"/>
    </xf>
    <xf numFmtId="166" fontId="21" fillId="0" borderId="57" xfId="3" applyFont="1" applyFill="1" applyBorder="1" applyAlignment="1">
      <alignment horizontal="left" vertical="center"/>
    </xf>
    <xf numFmtId="166" fontId="21" fillId="0" borderId="8" xfId="3" applyFont="1" applyFill="1" applyBorder="1" applyAlignment="1">
      <alignment horizontal="left" vertical="center"/>
    </xf>
    <xf numFmtId="0" fontId="21" fillId="0" borderId="55" xfId="2" applyFont="1" applyBorder="1" applyAlignment="1">
      <alignment horizontal="left" vertical="center"/>
    </xf>
    <xf numFmtId="166" fontId="21" fillId="0" borderId="31" xfId="3" applyFont="1" applyFill="1" applyBorder="1" applyAlignment="1" applyProtection="1">
      <alignment horizontal="center" vertical="center"/>
      <protection locked="0"/>
    </xf>
    <xf numFmtId="166" fontId="21" fillId="0" borderId="5" xfId="3" applyFont="1" applyFill="1" applyBorder="1" applyAlignment="1" applyProtection="1">
      <alignment horizontal="center" vertical="center"/>
      <protection locked="0"/>
    </xf>
    <xf numFmtId="166" fontId="21" fillId="0" borderId="56" xfId="3" applyFont="1" applyFill="1" applyBorder="1" applyAlignment="1" applyProtection="1">
      <alignment horizontal="center" vertical="center"/>
      <protection locked="0"/>
    </xf>
    <xf numFmtId="171" fontId="21" fillId="0" borderId="55" xfId="0" applyNumberFormat="1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56" xfId="0" applyFont="1" applyBorder="1" applyAlignment="1">
      <alignment horizontal="center" vertical="center"/>
    </xf>
    <xf numFmtId="169" fontId="21" fillId="0" borderId="31" xfId="3" applyNumberFormat="1" applyFont="1" applyFill="1" applyBorder="1" applyAlignment="1">
      <alignment vertical="center"/>
    </xf>
    <xf numFmtId="169" fontId="21" fillId="0" borderId="5" xfId="3" applyNumberFormat="1" applyFont="1" applyFill="1" applyBorder="1" applyAlignment="1">
      <alignment vertical="center"/>
    </xf>
    <xf numFmtId="166" fontId="21" fillId="0" borderId="55" xfId="3" applyFont="1" applyFill="1" applyBorder="1" applyAlignment="1">
      <alignment vertical="center"/>
    </xf>
    <xf numFmtId="166" fontId="21" fillId="0" borderId="6" xfId="3" applyFont="1" applyFill="1" applyBorder="1" applyAlignment="1">
      <alignment horizontal="left" vertical="center"/>
    </xf>
    <xf numFmtId="166" fontId="21" fillId="0" borderId="5" xfId="3" applyFont="1" applyFill="1" applyBorder="1" applyAlignment="1">
      <alignment horizontal="left" vertical="center"/>
    </xf>
    <xf numFmtId="166" fontId="21" fillId="0" borderId="15" xfId="3" applyFont="1" applyFill="1" applyBorder="1" applyAlignment="1">
      <alignment horizontal="left" vertical="center"/>
    </xf>
    <xf numFmtId="166" fontId="21" fillId="0" borderId="55" xfId="3" applyFont="1" applyFill="1" applyBorder="1" applyAlignment="1">
      <alignment horizontal="left" vertical="center"/>
    </xf>
    <xf numFmtId="0" fontId="21" fillId="0" borderId="61" xfId="2" applyFont="1" applyBorder="1" applyAlignment="1">
      <alignment horizontal="left" vertical="center"/>
    </xf>
    <xf numFmtId="166" fontId="21" fillId="0" borderId="3" xfId="3" applyFont="1" applyFill="1" applyBorder="1" applyAlignment="1">
      <alignment horizontal="left" vertical="center"/>
    </xf>
    <xf numFmtId="166" fontId="21" fillId="0" borderId="2" xfId="3" applyFont="1" applyFill="1" applyBorder="1" applyAlignment="1">
      <alignment horizontal="left" vertical="center"/>
    </xf>
    <xf numFmtId="166" fontId="21" fillId="0" borderId="17" xfId="3" applyFont="1" applyFill="1" applyBorder="1" applyAlignment="1">
      <alignment horizontal="left" vertical="center"/>
    </xf>
    <xf numFmtId="166" fontId="21" fillId="0" borderId="61" xfId="3" applyFont="1" applyFill="1" applyBorder="1" applyAlignment="1">
      <alignment horizontal="left" vertical="center"/>
    </xf>
    <xf numFmtId="166" fontId="21" fillId="0" borderId="52" xfId="3" applyFont="1" applyFill="1" applyBorder="1" applyAlignment="1" applyProtection="1">
      <alignment horizontal="center" vertical="center"/>
      <protection locked="0"/>
    </xf>
    <xf numFmtId="166" fontId="21" fillId="0" borderId="53" xfId="3" applyFont="1" applyFill="1" applyBorder="1" applyAlignment="1" applyProtection="1">
      <alignment horizontal="center" vertical="center"/>
      <protection locked="0"/>
    </xf>
    <xf numFmtId="166" fontId="21" fillId="0" borderId="65" xfId="3" applyFont="1" applyFill="1" applyBorder="1" applyAlignment="1" applyProtection="1">
      <alignment horizontal="center" vertical="center"/>
      <protection locked="0"/>
    </xf>
    <xf numFmtId="173" fontId="21" fillId="0" borderId="12" xfId="0" applyNumberFormat="1" applyFont="1" applyBorder="1" applyAlignment="1">
      <alignment horizontal="center" vertical="center"/>
    </xf>
    <xf numFmtId="0" fontId="21" fillId="0" borderId="40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69" fontId="21" fillId="0" borderId="40" xfId="3" applyNumberFormat="1" applyFont="1" applyFill="1" applyBorder="1" applyAlignment="1">
      <alignment vertical="center"/>
    </xf>
    <xf numFmtId="169" fontId="21" fillId="0" borderId="53" xfId="3" applyNumberFormat="1" applyFont="1" applyFill="1" applyBorder="1" applyAlignment="1">
      <alignment vertical="center"/>
    </xf>
    <xf numFmtId="166" fontId="21" fillId="0" borderId="41" xfId="3" applyFont="1" applyFill="1" applyBorder="1" applyAlignment="1">
      <alignment vertical="center"/>
    </xf>
    <xf numFmtId="166" fontId="21" fillId="0" borderId="41" xfId="3" applyFont="1" applyFill="1" applyBorder="1" applyAlignment="1">
      <alignment horizontal="left" vertical="center"/>
    </xf>
    <xf numFmtId="166" fontId="21" fillId="0" borderId="66" xfId="3" applyFont="1" applyFill="1" applyBorder="1" applyAlignment="1" applyProtection="1">
      <alignment horizontal="center" vertical="center"/>
      <protection locked="0"/>
    </xf>
    <xf numFmtId="166" fontId="21" fillId="0" borderId="58" xfId="3" applyFont="1" applyFill="1" applyBorder="1" applyAlignment="1" applyProtection="1">
      <alignment horizontal="center" vertical="center"/>
      <protection locked="0"/>
    </xf>
    <xf numFmtId="166" fontId="21" fillId="0" borderId="67" xfId="3" applyFont="1" applyFill="1" applyBorder="1" applyAlignment="1" applyProtection="1">
      <alignment horizontal="center" vertical="center"/>
      <protection locked="0"/>
    </xf>
    <xf numFmtId="173" fontId="21" fillId="0" borderId="59" xfId="0" applyNumberFormat="1" applyFont="1" applyBorder="1" applyAlignment="1">
      <alignment horizontal="center" vertical="center"/>
    </xf>
    <xf numFmtId="166" fontId="21" fillId="0" borderId="51" xfId="3" applyFont="1" applyFill="1" applyBorder="1" applyAlignment="1">
      <alignment vertical="center"/>
    </xf>
    <xf numFmtId="166" fontId="21" fillId="0" borderId="6" xfId="3" applyFont="1" applyFill="1" applyBorder="1" applyAlignment="1" applyProtection="1">
      <alignment horizontal="center" vertical="center"/>
      <protection locked="0"/>
    </xf>
    <xf numFmtId="166" fontId="21" fillId="0" borderId="4" xfId="3" applyFont="1" applyFill="1" applyBorder="1" applyAlignment="1" applyProtection="1">
      <alignment horizontal="center" vertical="center"/>
      <protection locked="0"/>
    </xf>
    <xf numFmtId="168" fontId="21" fillId="0" borderId="15" xfId="0" applyNumberFormat="1" applyFont="1" applyBorder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174" fontId="21" fillId="0" borderId="15" xfId="0" applyNumberFormat="1" applyFont="1" applyBorder="1" applyAlignment="1">
      <alignment horizontal="center" vertical="center"/>
    </xf>
    <xf numFmtId="166" fontId="21" fillId="0" borderId="3" xfId="3" applyFont="1" applyFill="1" applyBorder="1" applyAlignment="1" applyProtection="1">
      <alignment horizontal="center" vertical="center"/>
      <protection locked="0"/>
    </xf>
    <xf numFmtId="166" fontId="21" fillId="0" borderId="2" xfId="3" applyFont="1" applyFill="1" applyBorder="1" applyAlignment="1" applyProtection="1">
      <alignment horizontal="center" vertical="center"/>
      <protection locked="0"/>
    </xf>
    <xf numFmtId="166" fontId="21" fillId="0" borderId="1" xfId="3" applyFont="1" applyFill="1" applyBorder="1" applyAlignment="1" applyProtection="1">
      <alignment horizontal="center" vertical="center"/>
      <protection locked="0"/>
    </xf>
    <xf numFmtId="0" fontId="21" fillId="0" borderId="36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60" xfId="0" applyFont="1" applyBorder="1" applyAlignment="1">
      <alignment horizontal="center" vertical="center"/>
    </xf>
    <xf numFmtId="166" fontId="21" fillId="0" borderId="61" xfId="3" applyFont="1" applyFill="1" applyBorder="1" applyAlignment="1">
      <alignment vertical="center"/>
    </xf>
    <xf numFmtId="0" fontId="21" fillId="0" borderId="65" xfId="0" applyFont="1" applyBorder="1" applyAlignment="1">
      <alignment horizontal="center" vertical="center"/>
    </xf>
    <xf numFmtId="0" fontId="21" fillId="0" borderId="27" xfId="2" applyFont="1" applyBorder="1" applyAlignment="1">
      <alignment horizontal="center" vertical="center"/>
    </xf>
    <xf numFmtId="0" fontId="21" fillId="0" borderId="51" xfId="2" applyFont="1" applyBorder="1" applyAlignment="1">
      <alignment horizontal="left" vertical="center"/>
    </xf>
    <xf numFmtId="166" fontId="21" fillId="0" borderId="11" xfId="3" applyFont="1" applyFill="1" applyBorder="1" applyAlignment="1" applyProtection="1">
      <alignment horizontal="center" vertical="center"/>
      <protection locked="0"/>
    </xf>
    <xf numFmtId="168" fontId="21" fillId="0" borderId="10" xfId="0" applyNumberFormat="1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166" fontId="21" fillId="0" borderId="14" xfId="3" applyFont="1" applyFill="1" applyBorder="1" applyAlignment="1">
      <alignment horizontal="left" vertical="center"/>
    </xf>
    <xf numFmtId="166" fontId="21" fillId="0" borderId="13" xfId="3" applyFont="1" applyFill="1" applyBorder="1" applyAlignment="1">
      <alignment horizontal="left" vertical="center"/>
    </xf>
    <xf numFmtId="166" fontId="21" fillId="0" borderId="51" xfId="3" applyFont="1" applyFill="1" applyBorder="1" applyAlignment="1">
      <alignment horizontal="left" vertical="center"/>
    </xf>
    <xf numFmtId="169" fontId="21" fillId="0" borderId="55" xfId="3" applyNumberFormat="1" applyFont="1" applyFill="1" applyBorder="1" applyAlignment="1">
      <alignment vertical="center"/>
    </xf>
    <xf numFmtId="166" fontId="21" fillId="0" borderId="20" xfId="3" applyFont="1" applyFill="1" applyBorder="1" applyAlignment="1">
      <alignment horizontal="left" vertical="center"/>
    </xf>
    <xf numFmtId="0" fontId="21" fillId="0" borderId="4" xfId="0" applyFont="1" applyBorder="1" applyAlignment="1">
      <alignment horizontal="center" vertical="center"/>
    </xf>
    <xf numFmtId="166" fontId="21" fillId="0" borderId="31" xfId="3" applyFont="1" applyFill="1" applyBorder="1" applyAlignment="1">
      <alignment horizontal="left" vertical="center"/>
    </xf>
    <xf numFmtId="166" fontId="21" fillId="0" borderId="16" xfId="3" applyFont="1" applyFill="1" applyBorder="1" applyAlignment="1">
      <alignment horizontal="left" vertical="center"/>
    </xf>
    <xf numFmtId="166" fontId="21" fillId="0" borderId="5" xfId="3" quotePrefix="1" applyFont="1" applyFill="1" applyBorder="1" applyAlignment="1" applyProtection="1">
      <alignment horizontal="center" vertical="center"/>
      <protection locked="0"/>
    </xf>
    <xf numFmtId="166" fontId="21" fillId="0" borderId="56" xfId="3" quotePrefix="1" applyFont="1" applyFill="1" applyBorder="1" applyAlignment="1" applyProtection="1">
      <alignment horizontal="center" vertical="center"/>
      <protection locked="0"/>
    </xf>
    <xf numFmtId="0" fontId="21" fillId="0" borderId="6" xfId="0" applyFont="1" applyBorder="1" applyAlignment="1">
      <alignment horizontal="center" vertical="center"/>
    </xf>
    <xf numFmtId="0" fontId="21" fillId="0" borderId="67" xfId="0" applyFont="1" applyBorder="1" applyAlignment="1">
      <alignment horizontal="center" vertical="center"/>
    </xf>
    <xf numFmtId="168" fontId="21" fillId="0" borderId="61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6" fontId="21" fillId="0" borderId="18" xfId="3" applyFont="1" applyFill="1" applyBorder="1" applyAlignment="1">
      <alignment horizontal="left" vertical="center"/>
    </xf>
    <xf numFmtId="0" fontId="21" fillId="0" borderId="42" xfId="0" applyFont="1" applyBorder="1" applyAlignment="1">
      <alignment horizontal="center" vertical="center"/>
    </xf>
    <xf numFmtId="0" fontId="21" fillId="0" borderId="64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169" fontId="21" fillId="0" borderId="42" xfId="3" applyNumberFormat="1" applyFont="1" applyFill="1" applyBorder="1" applyAlignment="1">
      <alignment vertical="center"/>
    </xf>
    <xf numFmtId="169" fontId="21" fillId="0" borderId="64" xfId="3" applyNumberFormat="1" applyFont="1" applyFill="1" applyBorder="1" applyAlignment="1">
      <alignment vertical="center"/>
    </xf>
    <xf numFmtId="169" fontId="21" fillId="0" borderId="35" xfId="3" applyNumberFormat="1" applyFont="1" applyFill="1" applyBorder="1" applyAlignment="1">
      <alignment vertical="center"/>
    </xf>
    <xf numFmtId="0" fontId="21" fillId="0" borderId="76" xfId="0" applyFont="1" applyBorder="1" applyAlignment="1">
      <alignment horizontal="center" vertical="center"/>
    </xf>
    <xf numFmtId="166" fontId="21" fillId="0" borderId="9" xfId="3" applyFont="1" applyFill="1" applyBorder="1" applyAlignment="1">
      <alignment horizontal="left" vertical="center"/>
    </xf>
    <xf numFmtId="0" fontId="21" fillId="0" borderId="7" xfId="0" applyFont="1" applyBorder="1" applyAlignment="1">
      <alignment horizontal="center" vertical="center"/>
    </xf>
    <xf numFmtId="166" fontId="21" fillId="0" borderId="45" xfId="3" applyFont="1" applyFill="1" applyBorder="1" applyAlignment="1" applyProtection="1">
      <alignment horizontal="center" vertical="center"/>
      <protection locked="0"/>
    </xf>
    <xf numFmtId="166" fontId="21" fillId="0" borderId="46" xfId="3" applyFont="1" applyFill="1" applyBorder="1" applyAlignment="1" applyProtection="1">
      <alignment horizontal="center" vertical="center"/>
      <protection locked="0"/>
    </xf>
    <xf numFmtId="168" fontId="21" fillId="0" borderId="56" xfId="0" applyNumberFormat="1" applyFont="1" applyBorder="1" applyAlignment="1">
      <alignment horizontal="center" vertical="center"/>
    </xf>
    <xf numFmtId="166" fontId="21" fillId="0" borderId="40" xfId="3" applyFont="1" applyFill="1" applyBorder="1" applyAlignment="1" applyProtection="1">
      <alignment horizontal="center" vertical="center"/>
      <protection locked="0"/>
    </xf>
    <xf numFmtId="166" fontId="21" fillId="0" borderId="31" xfId="3" quotePrefix="1" applyFont="1" applyFill="1" applyBorder="1" applyAlignment="1" applyProtection="1">
      <alignment horizontal="center" vertical="center"/>
      <protection locked="0"/>
    </xf>
    <xf numFmtId="169" fontId="21" fillId="0" borderId="57" xfId="3" applyNumberFormat="1" applyFont="1" applyFill="1" applyBorder="1" applyAlignment="1">
      <alignment vertical="center"/>
    </xf>
    <xf numFmtId="173" fontId="21" fillId="0" borderId="4" xfId="0" applyNumberFormat="1" applyFont="1" applyBorder="1" applyAlignment="1">
      <alignment horizontal="center" vertical="center"/>
    </xf>
    <xf numFmtId="166" fontId="21" fillId="0" borderId="35" xfId="3" applyFont="1" applyFill="1" applyBorder="1" applyAlignment="1">
      <alignment vertical="center"/>
    </xf>
    <xf numFmtId="166" fontId="21" fillId="0" borderId="9" xfId="3" applyFont="1" applyFill="1" applyBorder="1" applyAlignment="1" applyProtection="1">
      <alignment horizontal="center" vertical="center"/>
      <protection locked="0"/>
    </xf>
    <xf numFmtId="166" fontId="21" fillId="0" borderId="8" xfId="3" applyFont="1" applyFill="1" applyBorder="1" applyAlignment="1" applyProtection="1">
      <alignment horizontal="center" vertical="center"/>
      <protection locked="0"/>
    </xf>
    <xf numFmtId="166" fontId="21" fillId="0" borderId="7" xfId="3" applyFont="1" applyFill="1" applyBorder="1" applyAlignment="1" applyProtection="1">
      <alignment horizontal="center" vertical="center"/>
      <protection locked="0"/>
    </xf>
    <xf numFmtId="169" fontId="21" fillId="0" borderId="27" xfId="3" applyNumberFormat="1" applyFont="1" applyFill="1" applyBorder="1" applyAlignment="1">
      <alignment vertical="center"/>
    </xf>
    <xf numFmtId="169" fontId="21" fillId="0" borderId="8" xfId="3" applyNumberFormat="1" applyFont="1" applyFill="1" applyBorder="1" applyAlignment="1">
      <alignment vertical="center"/>
    </xf>
    <xf numFmtId="168" fontId="21" fillId="0" borderId="0" xfId="0" applyNumberFormat="1" applyFont="1" applyAlignment="1">
      <alignment horizontal="center" vertical="center"/>
    </xf>
    <xf numFmtId="175" fontId="21" fillId="0" borderId="1" xfId="0" applyNumberFormat="1" applyFont="1" applyBorder="1" applyAlignment="1">
      <alignment horizontal="center" vertical="center"/>
    </xf>
    <xf numFmtId="166" fontId="21" fillId="0" borderId="74" xfId="3" applyFont="1" applyFill="1" applyBorder="1" applyAlignment="1">
      <alignment horizontal="left" vertical="center"/>
    </xf>
    <xf numFmtId="169" fontId="21" fillId="0" borderId="4" xfId="3" applyNumberFormat="1" applyFont="1" applyFill="1" applyBorder="1" applyAlignment="1">
      <alignment vertical="center"/>
    </xf>
    <xf numFmtId="166" fontId="21" fillId="0" borderId="44" xfId="3" applyFont="1" applyFill="1" applyBorder="1" applyAlignment="1">
      <alignment horizontal="left" vertical="center"/>
    </xf>
    <xf numFmtId="169" fontId="21" fillId="0" borderId="51" xfId="3" applyNumberFormat="1" applyFont="1" applyFill="1" applyBorder="1" applyAlignment="1">
      <alignment vertical="center"/>
    </xf>
    <xf numFmtId="0" fontId="21" fillId="0" borderId="31" xfId="2" applyFont="1" applyBorder="1" applyAlignment="1">
      <alignment horizontal="left" vertical="center"/>
    </xf>
    <xf numFmtId="168" fontId="21" fillId="0" borderId="51" xfId="0" applyNumberFormat="1" applyFont="1" applyBorder="1" applyAlignment="1">
      <alignment horizontal="center" vertical="center"/>
    </xf>
    <xf numFmtId="171" fontId="21" fillId="0" borderId="74" xfId="0" applyNumberFormat="1" applyFont="1" applyBorder="1" applyAlignment="1">
      <alignment horizontal="center" vertical="center"/>
    </xf>
    <xf numFmtId="169" fontId="21" fillId="0" borderId="7" xfId="3" applyNumberFormat="1" applyFont="1" applyFill="1" applyBorder="1" applyAlignment="1">
      <alignment vertical="center"/>
    </xf>
    <xf numFmtId="169" fontId="21" fillId="0" borderId="6" xfId="3" applyNumberFormat="1" applyFont="1" applyFill="1" applyBorder="1" applyAlignment="1">
      <alignment vertical="center"/>
    </xf>
    <xf numFmtId="169" fontId="21" fillId="0" borderId="65" xfId="3" applyNumberFormat="1" applyFont="1" applyFill="1" applyBorder="1" applyAlignment="1">
      <alignment vertical="center"/>
    </xf>
    <xf numFmtId="169" fontId="21" fillId="0" borderId="21" xfId="3" applyNumberFormat="1" applyFont="1" applyFill="1" applyBorder="1" applyAlignment="1">
      <alignment vertical="center"/>
    </xf>
    <xf numFmtId="166" fontId="21" fillId="0" borderId="70" xfId="3" applyFont="1" applyFill="1" applyBorder="1" applyAlignment="1" applyProtection="1">
      <alignment horizontal="center" vertical="center"/>
      <protection locked="0"/>
    </xf>
    <xf numFmtId="169" fontId="21" fillId="0" borderId="23" xfId="3" applyNumberFormat="1" applyFont="1" applyFill="1" applyBorder="1" applyAlignment="1">
      <alignment vertical="center"/>
    </xf>
    <xf numFmtId="166" fontId="21" fillId="0" borderId="74" xfId="3" applyFont="1" applyFill="1" applyBorder="1" applyAlignment="1">
      <alignment vertical="center"/>
    </xf>
    <xf numFmtId="0" fontId="19" fillId="4" borderId="24" xfId="1" applyFont="1" applyFill="1" applyBorder="1" applyAlignment="1">
      <alignment horizontal="center" vertical="center" wrapText="1"/>
    </xf>
    <xf numFmtId="170" fontId="21" fillId="0" borderId="51" xfId="4" applyNumberFormat="1" applyFont="1" applyFill="1" applyBorder="1" applyAlignment="1">
      <alignment horizontal="center" vertical="center"/>
    </xf>
    <xf numFmtId="170" fontId="21" fillId="0" borderId="55" xfId="4" applyNumberFormat="1" applyFont="1" applyFill="1" applyBorder="1" applyAlignment="1">
      <alignment horizontal="center" vertical="center"/>
    </xf>
    <xf numFmtId="170" fontId="21" fillId="0" borderId="61" xfId="4" applyNumberFormat="1" applyFont="1" applyFill="1" applyBorder="1" applyAlignment="1">
      <alignment horizontal="center" vertical="center"/>
    </xf>
    <xf numFmtId="170" fontId="21" fillId="0" borderId="57" xfId="4" applyNumberFormat="1" applyFont="1" applyFill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46" xfId="0" applyFont="1" applyBorder="1" applyAlignment="1">
      <alignment horizontal="center" vertical="center"/>
    </xf>
    <xf numFmtId="0" fontId="21" fillId="0" borderId="62" xfId="0" applyFont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vertical="center"/>
    </xf>
    <xf numFmtId="0" fontId="21" fillId="0" borderId="66" xfId="0" applyFont="1" applyBorder="1" applyAlignment="1">
      <alignment horizontal="center" vertical="center"/>
    </xf>
    <xf numFmtId="0" fontId="21" fillId="0" borderId="6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166" fontId="21" fillId="0" borderId="26" xfId="3" applyFont="1" applyBorder="1" applyAlignment="1">
      <alignment horizontal="left" vertical="center"/>
    </xf>
    <xf numFmtId="166" fontId="21" fillId="0" borderId="56" xfId="3" applyFont="1" applyBorder="1" applyAlignment="1">
      <alignment horizontal="left" vertical="center"/>
    </xf>
    <xf numFmtId="166" fontId="21" fillId="0" borderId="73" xfId="3" applyFont="1" applyBorder="1" applyAlignment="1">
      <alignment horizontal="left" vertical="center"/>
    </xf>
    <xf numFmtId="166" fontId="21" fillId="0" borderId="62" xfId="3" applyFont="1" applyBorder="1" applyAlignment="1">
      <alignment horizontal="left" vertical="center"/>
    </xf>
    <xf numFmtId="166" fontId="21" fillId="0" borderId="75" xfId="3" applyFont="1" applyBorder="1" applyAlignment="1">
      <alignment horizontal="left" vertical="center"/>
    </xf>
    <xf numFmtId="0" fontId="19" fillId="4" borderId="68" xfId="1" applyFont="1" applyFill="1" applyBorder="1" applyAlignment="1">
      <alignment horizontal="center" vertical="center" wrapText="1"/>
    </xf>
    <xf numFmtId="2" fontId="21" fillId="0" borderId="6" xfId="0" applyNumberFormat="1" applyFont="1" applyBorder="1" applyAlignment="1">
      <alignment horizontal="right" vertical="center"/>
    </xf>
    <xf numFmtId="2" fontId="21" fillId="0" borderId="3" xfId="0" applyNumberFormat="1" applyFont="1" applyBorder="1" applyAlignment="1">
      <alignment horizontal="right" vertical="center"/>
    </xf>
    <xf numFmtId="2" fontId="21" fillId="0" borderId="66" xfId="0" applyNumberFormat="1" applyFont="1" applyBorder="1" applyAlignment="1">
      <alignment horizontal="right" vertical="center"/>
    </xf>
    <xf numFmtId="2" fontId="21" fillId="0" borderId="9" xfId="0" applyNumberFormat="1" applyFont="1" applyBorder="1" applyAlignment="1">
      <alignment horizontal="right" vertical="center"/>
    </xf>
    <xf numFmtId="2" fontId="21" fillId="0" borderId="70" xfId="0" applyNumberFormat="1" applyFont="1" applyBorder="1" applyAlignment="1">
      <alignment horizontal="right" vertical="center"/>
    </xf>
    <xf numFmtId="2" fontId="21" fillId="0" borderId="22" xfId="0" applyNumberFormat="1" applyFont="1" applyBorder="1" applyAlignment="1">
      <alignment horizontal="right" vertical="center"/>
    </xf>
    <xf numFmtId="166" fontId="21" fillId="0" borderId="4" xfId="3" applyFont="1" applyBorder="1" applyAlignment="1">
      <alignment horizontal="left" vertical="center"/>
    </xf>
    <xf numFmtId="166" fontId="21" fillId="0" borderId="15" xfId="3" applyFont="1" applyBorder="1" applyAlignment="1">
      <alignment horizontal="left" vertical="center"/>
    </xf>
    <xf numFmtId="166" fontId="21" fillId="0" borderId="38" xfId="3" applyFont="1" applyBorder="1" applyAlignment="1">
      <alignment horizontal="left" vertical="center"/>
    </xf>
    <xf numFmtId="166" fontId="21" fillId="0" borderId="7" xfId="3" applyFont="1" applyBorder="1" applyAlignment="1">
      <alignment horizontal="left" vertical="center"/>
    </xf>
    <xf numFmtId="166" fontId="21" fillId="0" borderId="19" xfId="3" applyFont="1" applyBorder="1" applyAlignment="1">
      <alignment horizontal="left" vertical="center"/>
    </xf>
    <xf numFmtId="166" fontId="21" fillId="0" borderId="1" xfId="3" applyFont="1" applyBorder="1" applyAlignment="1">
      <alignment horizontal="left" vertical="center"/>
    </xf>
    <xf numFmtId="166" fontId="21" fillId="4" borderId="31" xfId="3" applyFont="1" applyFill="1" applyBorder="1" applyAlignment="1">
      <alignment horizontal="left" vertical="center"/>
    </xf>
    <xf numFmtId="10" fontId="21" fillId="2" borderId="55" xfId="4" applyNumberFormat="1" applyFont="1" applyFill="1" applyBorder="1" applyAlignment="1">
      <alignment horizontal="right" vertical="center"/>
    </xf>
    <xf numFmtId="166" fontId="9" fillId="4" borderId="46" xfId="0" applyNumberFormat="1" applyFont="1" applyFill="1" applyBorder="1" applyAlignment="1">
      <alignment horizontal="center" vertical="center"/>
    </xf>
    <xf numFmtId="0" fontId="10" fillId="4" borderId="41" xfId="0" applyFont="1" applyFill="1" applyBorder="1" applyAlignment="1">
      <alignment horizontal="center" vertical="center"/>
    </xf>
    <xf numFmtId="0" fontId="10" fillId="4" borderId="44" xfId="0" applyFont="1" applyFill="1" applyBorder="1" applyAlignment="1">
      <alignment horizontal="center" vertical="center"/>
    </xf>
    <xf numFmtId="172" fontId="22" fillId="4" borderId="46" xfId="0" applyNumberFormat="1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center" vertical="center"/>
    </xf>
    <xf numFmtId="172" fontId="22" fillId="4" borderId="44" xfId="0" applyNumberFormat="1" applyFont="1" applyFill="1" applyBorder="1" applyAlignment="1">
      <alignment horizontal="center" vertical="center"/>
    </xf>
    <xf numFmtId="166" fontId="21" fillId="4" borderId="61" xfId="3" applyFont="1" applyFill="1" applyBorder="1" applyAlignment="1">
      <alignment horizontal="left" vertical="center"/>
    </xf>
    <xf numFmtId="10" fontId="21" fillId="2" borderId="74" xfId="4" applyNumberFormat="1" applyFont="1" applyFill="1" applyBorder="1" applyAlignment="1">
      <alignment horizontal="right" vertical="center"/>
    </xf>
    <xf numFmtId="166" fontId="21" fillId="4" borderId="32" xfId="3" applyFont="1" applyFill="1" applyBorder="1" applyAlignment="1">
      <alignment horizontal="left" vertical="center"/>
    </xf>
    <xf numFmtId="166" fontId="21" fillId="4" borderId="51" xfId="3" applyFont="1" applyFill="1" applyBorder="1" applyAlignment="1">
      <alignment horizontal="left" vertical="center"/>
    </xf>
    <xf numFmtId="10" fontId="21" fillId="2" borderId="51" xfId="4" applyNumberFormat="1" applyFont="1" applyFill="1" applyBorder="1" applyAlignment="1">
      <alignment horizontal="right" vertical="center"/>
    </xf>
    <xf numFmtId="166" fontId="21" fillId="4" borderId="30" xfId="3" applyFont="1" applyFill="1" applyBorder="1" applyAlignment="1">
      <alignment horizontal="left" vertical="center"/>
    </xf>
    <xf numFmtId="10" fontId="21" fillId="2" borderId="57" xfId="4" applyNumberFormat="1" applyFont="1" applyFill="1" applyBorder="1" applyAlignment="1">
      <alignment horizontal="right" vertical="center"/>
    </xf>
    <xf numFmtId="10" fontId="21" fillId="2" borderId="61" xfId="4" applyNumberFormat="1" applyFont="1" applyFill="1" applyBorder="1" applyAlignment="1">
      <alignment horizontal="right" vertical="center"/>
    </xf>
    <xf numFmtId="165" fontId="23" fillId="0" borderId="0" xfId="0" applyNumberFormat="1" applyFont="1"/>
    <xf numFmtId="166" fontId="2" fillId="0" borderId="10" xfId="3" applyFont="1" applyBorder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10" fontId="23" fillId="0" borderId="0" xfId="0" applyNumberFormat="1" applyFont="1"/>
    <xf numFmtId="166" fontId="21" fillId="0" borderId="16" xfId="3" applyFont="1" applyFill="1" applyBorder="1" applyAlignment="1">
      <alignment horizontal="center" vertical="center"/>
    </xf>
    <xf numFmtId="166" fontId="21" fillId="0" borderId="33" xfId="3" applyFont="1" applyFill="1" applyBorder="1" applyAlignment="1">
      <alignment horizontal="center" vertical="center"/>
    </xf>
    <xf numFmtId="166" fontId="21" fillId="0" borderId="9" xfId="3" applyFont="1" applyFill="1" applyBorder="1" applyAlignment="1">
      <alignment horizontal="center" vertical="center"/>
    </xf>
    <xf numFmtId="166" fontId="21" fillId="0" borderId="3" xfId="3" applyFont="1" applyFill="1" applyBorder="1" applyAlignment="1">
      <alignment horizontal="center" vertical="center"/>
    </xf>
    <xf numFmtId="166" fontId="21" fillId="0" borderId="20" xfId="3" applyFont="1" applyFill="1" applyBorder="1" applyAlignment="1">
      <alignment horizontal="center" vertical="center"/>
    </xf>
    <xf numFmtId="177" fontId="21" fillId="0" borderId="10" xfId="0" applyNumberFormat="1" applyFont="1" applyBorder="1" applyAlignment="1">
      <alignment horizontal="center" vertical="center"/>
    </xf>
    <xf numFmtId="177" fontId="21" fillId="0" borderId="55" xfId="0" applyNumberFormat="1" applyFont="1" applyBorder="1" applyAlignment="1">
      <alignment horizontal="center" vertical="center"/>
    </xf>
    <xf numFmtId="178" fontId="21" fillId="0" borderId="55" xfId="0" applyNumberFormat="1" applyFont="1" applyBorder="1" applyAlignment="1">
      <alignment horizontal="center" vertical="center"/>
    </xf>
    <xf numFmtId="177" fontId="21" fillId="0" borderId="61" xfId="0" applyNumberFormat="1" applyFont="1" applyBorder="1" applyAlignment="1">
      <alignment horizontal="center" vertical="center"/>
    </xf>
    <xf numFmtId="177" fontId="21" fillId="0" borderId="56" xfId="0" applyNumberFormat="1" applyFont="1" applyBorder="1" applyAlignment="1">
      <alignment horizontal="center" vertical="center"/>
    </xf>
    <xf numFmtId="177" fontId="21" fillId="0" borderId="15" xfId="0" applyNumberFormat="1" applyFont="1" applyBorder="1" applyAlignment="1">
      <alignment horizontal="center" vertical="center"/>
    </xf>
    <xf numFmtId="177" fontId="21" fillId="0" borderId="17" xfId="0" applyNumberFormat="1" applyFont="1" applyBorder="1" applyAlignment="1">
      <alignment horizontal="center" vertical="center"/>
    </xf>
    <xf numFmtId="166" fontId="21" fillId="0" borderId="71" xfId="3" applyFont="1" applyFill="1" applyBorder="1" applyAlignment="1" applyProtection="1">
      <alignment horizontal="center" vertical="center"/>
      <protection locked="0"/>
    </xf>
    <xf numFmtId="166" fontId="21" fillId="0" borderId="14" xfId="3" applyFont="1" applyFill="1" applyBorder="1" applyAlignment="1">
      <alignment horizontal="center" vertical="center"/>
    </xf>
    <xf numFmtId="166" fontId="21" fillId="0" borderId="18" xfId="3" applyFont="1" applyFill="1" applyBorder="1" applyAlignment="1">
      <alignment horizontal="center" vertical="center"/>
    </xf>
    <xf numFmtId="166" fontId="21" fillId="0" borderId="17" xfId="3" applyFont="1" applyBorder="1" applyAlignment="1">
      <alignment horizontal="left" vertical="center"/>
    </xf>
    <xf numFmtId="166" fontId="21" fillId="4" borderId="36" xfId="3" applyFont="1" applyFill="1" applyBorder="1" applyAlignment="1">
      <alignment horizontal="left" vertical="center"/>
    </xf>
    <xf numFmtId="166" fontId="21" fillId="0" borderId="6" xfId="3" applyFont="1" applyFill="1" applyBorder="1" applyAlignment="1">
      <alignment vertical="center"/>
    </xf>
    <xf numFmtId="169" fontId="21" fillId="0" borderId="76" xfId="3" applyNumberFormat="1" applyFont="1" applyFill="1" applyBorder="1" applyAlignment="1">
      <alignment vertical="center"/>
    </xf>
    <xf numFmtId="166" fontId="21" fillId="0" borderId="35" xfId="3" applyFont="1" applyFill="1" applyBorder="1" applyAlignment="1">
      <alignment horizontal="left" vertical="center"/>
    </xf>
    <xf numFmtId="166" fontId="21" fillId="0" borderId="46" xfId="3" applyFont="1" applyBorder="1" applyAlignment="1">
      <alignment horizontal="left" vertical="center"/>
    </xf>
    <xf numFmtId="166" fontId="21" fillId="0" borderId="34" xfId="3" applyFont="1" applyBorder="1" applyAlignment="1">
      <alignment horizontal="left" vertical="center"/>
    </xf>
    <xf numFmtId="166" fontId="21" fillId="0" borderId="43" xfId="3" applyFont="1" applyBorder="1" applyAlignment="1">
      <alignment horizontal="left" vertical="center"/>
    </xf>
    <xf numFmtId="166" fontId="21" fillId="0" borderId="23" xfId="3" applyFont="1" applyBorder="1" applyAlignment="1">
      <alignment horizontal="left" vertical="center"/>
    </xf>
    <xf numFmtId="166" fontId="21" fillId="0" borderId="11" xfId="3" applyFont="1" applyBorder="1" applyAlignment="1">
      <alignment horizontal="left" vertical="center"/>
    </xf>
    <xf numFmtId="169" fontId="21" fillId="0" borderId="54" xfId="3" applyNumberFormat="1" applyFont="1" applyFill="1" applyBorder="1" applyAlignment="1">
      <alignment vertical="center"/>
    </xf>
    <xf numFmtId="166" fontId="21" fillId="0" borderId="40" xfId="3" applyFont="1" applyFill="1" applyBorder="1" applyAlignment="1">
      <alignment horizontal="center" vertical="center"/>
    </xf>
    <xf numFmtId="166" fontId="21" fillId="0" borderId="8" xfId="3" applyFont="1" applyFill="1" applyBorder="1" applyAlignment="1">
      <alignment horizontal="center" vertical="center"/>
    </xf>
    <xf numFmtId="166" fontId="21" fillId="0" borderId="7" xfId="3" applyFont="1" applyFill="1" applyBorder="1" applyAlignment="1">
      <alignment horizontal="center" vertical="center"/>
    </xf>
    <xf numFmtId="166" fontId="21" fillId="0" borderId="57" xfId="3" applyFont="1" applyFill="1" applyBorder="1" applyAlignment="1">
      <alignment vertical="center"/>
    </xf>
    <xf numFmtId="166" fontId="21" fillId="0" borderId="45" xfId="3" applyFont="1" applyFill="1" applyBorder="1" applyAlignment="1">
      <alignment horizontal="center" vertical="center"/>
    </xf>
    <xf numFmtId="166" fontId="21" fillId="0" borderId="53" xfId="3" applyFont="1" applyFill="1" applyBorder="1" applyAlignment="1">
      <alignment horizontal="center" vertical="center"/>
    </xf>
    <xf numFmtId="166" fontId="21" fillId="0" borderId="2" xfId="3" applyFont="1" applyFill="1" applyBorder="1" applyAlignment="1">
      <alignment horizontal="center" vertical="center"/>
    </xf>
    <xf numFmtId="166" fontId="21" fillId="0" borderId="65" xfId="3" applyFont="1" applyFill="1" applyBorder="1" applyAlignment="1">
      <alignment horizontal="center" vertical="center"/>
    </xf>
    <xf numFmtId="166" fontId="21" fillId="0" borderId="1" xfId="3" applyFont="1" applyFill="1" applyBorder="1" applyAlignment="1">
      <alignment horizontal="center" vertical="center"/>
    </xf>
    <xf numFmtId="166" fontId="21" fillId="0" borderId="67" xfId="3" applyFont="1" applyFill="1" applyBorder="1" applyAlignment="1">
      <alignment horizontal="center" vertical="center"/>
    </xf>
    <xf numFmtId="166" fontId="21" fillId="0" borderId="58" xfId="3" applyFont="1" applyFill="1" applyBorder="1" applyAlignment="1">
      <alignment horizontal="center" vertical="center"/>
    </xf>
    <xf numFmtId="166" fontId="21" fillId="0" borderId="22" xfId="3" applyFont="1" applyFill="1" applyBorder="1" applyAlignment="1">
      <alignment horizontal="center" vertical="center"/>
    </xf>
    <xf numFmtId="166" fontId="21" fillId="0" borderId="21" xfId="3" applyFont="1" applyFill="1" applyBorder="1" applyAlignment="1">
      <alignment horizontal="center" vertical="center"/>
    </xf>
    <xf numFmtId="166" fontId="21" fillId="0" borderId="23" xfId="3" applyFont="1" applyFill="1" applyBorder="1" applyAlignment="1">
      <alignment horizontal="center" vertical="center"/>
    </xf>
    <xf numFmtId="166" fontId="21" fillId="0" borderId="5" xfId="3" applyFont="1" applyFill="1" applyBorder="1" applyAlignment="1">
      <alignment horizontal="center" vertical="center"/>
    </xf>
    <xf numFmtId="166" fontId="21" fillId="0" borderId="6" xfId="3" applyFont="1" applyFill="1" applyBorder="1" applyAlignment="1">
      <alignment horizontal="center" vertical="center"/>
    </xf>
    <xf numFmtId="166" fontId="21" fillId="0" borderId="4" xfId="3" applyFont="1" applyFill="1" applyBorder="1" applyAlignment="1">
      <alignment horizontal="center" vertical="center"/>
    </xf>
    <xf numFmtId="166" fontId="21" fillId="0" borderId="31" xfId="3" applyFont="1" applyFill="1" applyBorder="1" applyAlignment="1">
      <alignment horizontal="center" vertical="center"/>
    </xf>
    <xf numFmtId="166" fontId="21" fillId="0" borderId="27" xfId="3" applyFont="1" applyFill="1" applyBorder="1" applyAlignment="1">
      <alignment horizontal="center" vertical="center"/>
    </xf>
    <xf numFmtId="166" fontId="21" fillId="0" borderId="15" xfId="3" applyFont="1" applyFill="1" applyBorder="1" applyAlignment="1">
      <alignment horizontal="center" vertical="center"/>
    </xf>
    <xf numFmtId="166" fontId="21" fillId="0" borderId="71" xfId="3" applyFont="1" applyFill="1" applyBorder="1" applyAlignment="1">
      <alignment horizontal="center" vertical="center"/>
    </xf>
    <xf numFmtId="166" fontId="21" fillId="0" borderId="34" xfId="3" applyFont="1" applyFill="1" applyBorder="1" applyAlignment="1">
      <alignment horizontal="center" vertical="center"/>
    </xf>
    <xf numFmtId="166" fontId="21" fillId="0" borderId="38" xfId="3" applyFont="1" applyFill="1" applyBorder="1" applyAlignment="1">
      <alignment horizontal="center" vertical="center"/>
    </xf>
    <xf numFmtId="166" fontId="21" fillId="0" borderId="17" xfId="3" applyFont="1" applyFill="1" applyBorder="1" applyAlignment="1">
      <alignment horizontal="center" vertical="center"/>
    </xf>
    <xf numFmtId="166" fontId="21" fillId="0" borderId="54" xfId="3" applyFont="1" applyFill="1" applyBorder="1" applyAlignment="1">
      <alignment horizontal="center" vertical="center"/>
    </xf>
    <xf numFmtId="0" fontId="30" fillId="3" borderId="40" xfId="0" applyFont="1" applyFill="1" applyBorder="1" applyAlignment="1">
      <alignment horizontal="left" vertical="top"/>
    </xf>
    <xf numFmtId="0" fontId="30" fillId="3" borderId="10" xfId="0" applyFont="1" applyFill="1" applyBorder="1" applyAlignment="1">
      <alignment horizontal="left" vertical="top"/>
    </xf>
    <xf numFmtId="0" fontId="30" fillId="3" borderId="11" xfId="0" applyFont="1" applyFill="1" applyBorder="1" applyAlignment="1">
      <alignment horizontal="left" vertical="top"/>
    </xf>
    <xf numFmtId="14" fontId="8" fillId="0" borderId="6" xfId="0" applyNumberFormat="1" applyFont="1" applyBorder="1" applyAlignment="1" applyProtection="1">
      <alignment horizontal="center" vertical="center"/>
      <protection locked="0"/>
    </xf>
    <xf numFmtId="0" fontId="32" fillId="0" borderId="4" xfId="0" applyFont="1" applyBorder="1" applyAlignment="1" applyProtection="1">
      <alignment horizontal="center" vertical="center"/>
      <protection locked="0"/>
    </xf>
    <xf numFmtId="0" fontId="33" fillId="0" borderId="45" xfId="0" applyFont="1" applyBorder="1" applyAlignment="1">
      <alignment vertical="top"/>
    </xf>
    <xf numFmtId="0" fontId="0" fillId="0" borderId="46" xfId="0" applyBorder="1"/>
    <xf numFmtId="0" fontId="23" fillId="0" borderId="46" xfId="0" applyFont="1" applyBorder="1"/>
    <xf numFmtId="180" fontId="32" fillId="0" borderId="4" xfId="0" applyNumberFormat="1" applyFont="1" applyBorder="1" applyAlignment="1" applyProtection="1">
      <alignment horizontal="center" vertical="center"/>
      <protection locked="0"/>
    </xf>
    <xf numFmtId="0" fontId="0" fillId="0" borderId="45" xfId="0" applyBorder="1"/>
    <xf numFmtId="0" fontId="8" fillId="0" borderId="6" xfId="0" applyFont="1" applyBorder="1" applyAlignment="1" applyProtection="1">
      <alignment horizontal="center" vertical="center"/>
      <protection locked="0"/>
    </xf>
    <xf numFmtId="0" fontId="9" fillId="0" borderId="45" xfId="0" applyFont="1" applyBorder="1" applyAlignment="1">
      <alignment horizontal="right"/>
    </xf>
    <xf numFmtId="166" fontId="9" fillId="0" borderId="0" xfId="0" applyNumberFormat="1" applyFont="1" applyAlignment="1">
      <alignment horizontal="center"/>
    </xf>
    <xf numFmtId="170" fontId="16" fillId="0" borderId="46" xfId="4" applyNumberFormat="1" applyFont="1" applyFill="1" applyBorder="1"/>
    <xf numFmtId="0" fontId="8" fillId="0" borderId="3" xfId="0" applyFont="1" applyBorder="1" applyAlignment="1" applyProtection="1">
      <alignment horizontal="center" vertical="center"/>
      <protection locked="0"/>
    </xf>
    <xf numFmtId="180" fontId="32" fillId="0" borderId="1" xfId="0" applyNumberFormat="1" applyFont="1" applyBorder="1" applyAlignment="1" applyProtection="1">
      <alignment horizontal="center" vertical="center"/>
      <protection locked="0"/>
    </xf>
    <xf numFmtId="0" fontId="9" fillId="0" borderId="42" xfId="0" applyFont="1" applyBorder="1" applyAlignment="1">
      <alignment horizontal="right"/>
    </xf>
    <xf numFmtId="0" fontId="9" fillId="0" borderId="24" xfId="0" applyFont="1" applyBorder="1" applyAlignment="1">
      <alignment horizontal="right"/>
    </xf>
    <xf numFmtId="166" fontId="9" fillId="0" borderId="24" xfId="0" applyNumberFormat="1" applyFont="1" applyBorder="1" applyAlignment="1">
      <alignment horizontal="center"/>
    </xf>
    <xf numFmtId="170" fontId="16" fillId="0" borderId="43" xfId="4" applyNumberFormat="1" applyFont="1" applyFill="1" applyBorder="1"/>
    <xf numFmtId="0" fontId="0" fillId="0" borderId="42" xfId="0" applyBorder="1"/>
    <xf numFmtId="0" fontId="0" fillId="0" borderId="24" xfId="0" applyBorder="1"/>
    <xf numFmtId="0" fontId="23" fillId="0" borderId="43" xfId="0" applyFont="1" applyBorder="1"/>
    <xf numFmtId="166" fontId="2" fillId="0" borderId="0" xfId="3" applyFont="1" applyFill="1" applyBorder="1"/>
    <xf numFmtId="166" fontId="2" fillId="0" borderId="24" xfId="3" applyFont="1" applyFill="1" applyBorder="1"/>
    <xf numFmtId="166" fontId="21" fillId="0" borderId="52" xfId="3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 wrapText="1"/>
    </xf>
    <xf numFmtId="166" fontId="21" fillId="0" borderId="34" xfId="3" applyFont="1" applyFill="1" applyBorder="1" applyAlignment="1" applyProtection="1">
      <alignment horizontal="center" vertical="center"/>
      <protection locked="0"/>
    </xf>
    <xf numFmtId="166" fontId="21" fillId="0" borderId="6" xfId="3" quotePrefix="1" applyFont="1" applyFill="1" applyBorder="1" applyAlignment="1" applyProtection="1">
      <alignment horizontal="center" vertical="center"/>
      <protection locked="0"/>
    </xf>
    <xf numFmtId="0" fontId="27" fillId="0" borderId="0" xfId="0" applyFont="1"/>
    <xf numFmtId="0" fontId="35" fillId="0" borderId="0" xfId="0" applyFont="1"/>
    <xf numFmtId="0" fontId="18" fillId="4" borderId="28" xfId="0" applyFont="1" applyFill="1" applyBorder="1" applyAlignment="1">
      <alignment horizontal="center" vertical="center"/>
    </xf>
    <xf numFmtId="0" fontId="18" fillId="4" borderId="46" xfId="0" applyFont="1" applyFill="1" applyBorder="1" applyAlignment="1">
      <alignment horizontal="center" vertical="center"/>
    </xf>
    <xf numFmtId="0" fontId="8" fillId="4" borderId="41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166" fontId="18" fillId="4" borderId="46" xfId="0" applyNumberFormat="1" applyFont="1" applyFill="1" applyBorder="1" applyAlignment="1">
      <alignment horizontal="center" vertical="center"/>
    </xf>
    <xf numFmtId="172" fontId="36" fillId="4" borderId="46" xfId="0" applyNumberFormat="1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166" fontId="21" fillId="0" borderId="70" xfId="3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172" fontId="36" fillId="4" borderId="44" xfId="0" applyNumberFormat="1" applyFont="1" applyFill="1" applyBorder="1" applyAlignment="1">
      <alignment horizontal="center" vertical="center"/>
    </xf>
    <xf numFmtId="0" fontId="37" fillId="0" borderId="0" xfId="0" applyFont="1"/>
    <xf numFmtId="0" fontId="37" fillId="0" borderId="37" xfId="0" applyFont="1" applyBorder="1"/>
    <xf numFmtId="0" fontId="37" fillId="0" borderId="0" xfId="0" applyFont="1" applyAlignment="1">
      <alignment horizontal="center" vertical="center"/>
    </xf>
    <xf numFmtId="0" fontId="35" fillId="0" borderId="37" xfId="0" applyFont="1" applyBorder="1"/>
    <xf numFmtId="0" fontId="32" fillId="0" borderId="0" xfId="0" applyFont="1"/>
    <xf numFmtId="170" fontId="37" fillId="4" borderId="50" xfId="4" applyNumberFormat="1" applyFont="1" applyFill="1" applyBorder="1"/>
    <xf numFmtId="10" fontId="32" fillId="0" borderId="0" xfId="0" applyNumberFormat="1" applyFont="1"/>
    <xf numFmtId="165" fontId="32" fillId="0" borderId="0" xfId="0" applyNumberFormat="1" applyFont="1"/>
    <xf numFmtId="0" fontId="18" fillId="0" borderId="0" xfId="0" applyFont="1" applyAlignment="1">
      <alignment horizontal="right"/>
    </xf>
    <xf numFmtId="0" fontId="35" fillId="0" borderId="24" xfId="0" applyFont="1" applyBorder="1"/>
    <xf numFmtId="0" fontId="32" fillId="0" borderId="43" xfId="0" applyFont="1" applyBorder="1"/>
    <xf numFmtId="0" fontId="39" fillId="0" borderId="0" xfId="0" applyFont="1"/>
    <xf numFmtId="0" fontId="27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166" fontId="21" fillId="0" borderId="69" xfId="3" applyFont="1" applyFill="1" applyBorder="1" applyAlignment="1" applyProtection="1">
      <alignment horizontal="center" vertical="center"/>
      <protection locked="0"/>
    </xf>
    <xf numFmtId="166" fontId="21" fillId="0" borderId="30" xfId="3" applyFont="1" applyFill="1" applyBorder="1" applyAlignment="1" applyProtection="1">
      <alignment horizontal="center" vertical="center"/>
      <protection locked="0"/>
    </xf>
    <xf numFmtId="177" fontId="21" fillId="0" borderId="54" xfId="0" applyNumberFormat="1" applyFont="1" applyBorder="1" applyAlignment="1">
      <alignment horizontal="center" vertical="center"/>
    </xf>
    <xf numFmtId="166" fontId="21" fillId="0" borderId="27" xfId="3" applyFont="1" applyFill="1" applyBorder="1" applyAlignment="1" applyProtection="1">
      <alignment horizontal="center" vertical="center"/>
      <protection locked="0"/>
    </xf>
    <xf numFmtId="173" fontId="4" fillId="0" borderId="0" xfId="0" applyNumberFormat="1" applyFont="1" applyAlignment="1" applyProtection="1">
      <alignment horizontal="right"/>
      <protection locked="0"/>
    </xf>
    <xf numFmtId="173" fontId="35" fillId="0" borderId="0" xfId="0" applyNumberFormat="1" applyFont="1"/>
    <xf numFmtId="166" fontId="21" fillId="0" borderId="16" xfId="3" quotePrefix="1" applyFont="1" applyFill="1" applyBorder="1" applyAlignment="1" applyProtection="1">
      <alignment horizontal="center" vertical="center"/>
      <protection locked="0"/>
    </xf>
    <xf numFmtId="166" fontId="27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66" fontId="18" fillId="4" borderId="0" xfId="0" applyNumberFormat="1" applyFont="1" applyFill="1" applyAlignment="1">
      <alignment horizontal="center" vertical="center"/>
    </xf>
    <xf numFmtId="172" fontId="36" fillId="4" borderId="0" xfId="0" applyNumberFormat="1" applyFont="1" applyFill="1" applyAlignment="1">
      <alignment horizontal="center" vertical="center"/>
    </xf>
    <xf numFmtId="0" fontId="40" fillId="3" borderId="0" xfId="0" applyFont="1" applyFill="1" applyAlignment="1">
      <alignment horizontal="left" vertical="top"/>
    </xf>
    <xf numFmtId="0" fontId="41" fillId="3" borderId="0" xfId="0" applyFont="1" applyFill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166" fontId="0" fillId="0" borderId="0" xfId="3" applyFont="1" applyAlignment="1">
      <alignment horizontal="center" vertical="center"/>
    </xf>
    <xf numFmtId="166" fontId="6" fillId="6" borderId="0" xfId="3" applyFont="1" applyFill="1" applyBorder="1" applyAlignment="1">
      <alignment horizontal="center" vertical="center" wrapText="1"/>
    </xf>
    <xf numFmtId="2" fontId="8" fillId="7" borderId="0" xfId="0" applyNumberFormat="1" applyFont="1" applyFill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2" fontId="8" fillId="8" borderId="0" xfId="0" applyNumberFormat="1" applyFont="1" applyFill="1" applyAlignment="1">
      <alignment horizontal="center" vertical="center" wrapText="1"/>
    </xf>
    <xf numFmtId="166" fontId="21" fillId="0" borderId="4" xfId="3" applyFont="1" applyFill="1" applyBorder="1" applyAlignment="1">
      <alignment horizontal="left" vertical="center"/>
    </xf>
    <xf numFmtId="10" fontId="21" fillId="0" borderId="55" xfId="4" applyNumberFormat="1" applyFont="1" applyFill="1" applyBorder="1" applyAlignment="1">
      <alignment horizontal="right" vertical="center"/>
    </xf>
    <xf numFmtId="166" fontId="21" fillId="0" borderId="1" xfId="3" applyFont="1" applyFill="1" applyBorder="1" applyAlignment="1">
      <alignment horizontal="left" vertical="center"/>
    </xf>
    <xf numFmtId="166" fontId="21" fillId="0" borderId="38" xfId="3" applyFont="1" applyFill="1" applyBorder="1" applyAlignment="1">
      <alignment horizontal="left" vertical="center"/>
    </xf>
    <xf numFmtId="10" fontId="21" fillId="0" borderId="74" xfId="4" applyNumberFormat="1" applyFont="1" applyFill="1" applyBorder="1" applyAlignment="1">
      <alignment horizontal="right" vertical="center"/>
    </xf>
    <xf numFmtId="166" fontId="21" fillId="0" borderId="34" xfId="3" applyFont="1" applyFill="1" applyBorder="1" applyAlignment="1">
      <alignment horizontal="left" vertical="center"/>
    </xf>
    <xf numFmtId="166" fontId="21" fillId="0" borderId="46" xfId="3" applyFont="1" applyFill="1" applyBorder="1" applyAlignment="1">
      <alignment horizontal="left" vertical="center"/>
    </xf>
    <xf numFmtId="10" fontId="21" fillId="0" borderId="51" xfId="4" applyNumberFormat="1" applyFont="1" applyFill="1" applyBorder="1" applyAlignment="1">
      <alignment horizontal="right" vertical="center"/>
    </xf>
    <xf numFmtId="166" fontId="21" fillId="0" borderId="56" xfId="3" applyFont="1" applyFill="1" applyBorder="1" applyAlignment="1">
      <alignment horizontal="left" vertical="center"/>
    </xf>
    <xf numFmtId="172" fontId="36" fillId="0" borderId="0" xfId="0" applyNumberFormat="1" applyFont="1" applyAlignment="1">
      <alignment horizontal="center" vertical="center"/>
    </xf>
    <xf numFmtId="166" fontId="21" fillId="0" borderId="73" xfId="3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/>
    </xf>
    <xf numFmtId="181" fontId="8" fillId="8" borderId="0" xfId="0" applyNumberFormat="1" applyFont="1" applyFill="1" applyAlignment="1">
      <alignment horizontal="center" vertical="center" wrapText="1"/>
    </xf>
    <xf numFmtId="181" fontId="8" fillId="0" borderId="0" xfId="0" applyNumberFormat="1" applyFont="1" applyAlignment="1">
      <alignment horizontal="center" vertical="center" wrapText="1"/>
    </xf>
    <xf numFmtId="181" fontId="8" fillId="0" borderId="28" xfId="0" applyNumberFormat="1" applyFont="1" applyBorder="1" applyAlignment="1">
      <alignment horizontal="center" vertical="center" wrapText="1"/>
    </xf>
    <xf numFmtId="182" fontId="8" fillId="8" borderId="0" xfId="0" applyNumberFormat="1" applyFont="1" applyFill="1" applyAlignment="1">
      <alignment horizontal="center" vertical="center" wrapText="1"/>
    </xf>
    <xf numFmtId="182" fontId="8" fillId="0" borderId="0" xfId="0" applyNumberFormat="1" applyFont="1" applyAlignment="1">
      <alignment horizontal="center" vertical="center" wrapText="1"/>
    </xf>
    <xf numFmtId="177" fontId="21" fillId="0" borderId="51" xfId="0" applyNumberFormat="1" applyFont="1" applyBorder="1" applyAlignment="1">
      <alignment horizontal="center" vertical="center"/>
    </xf>
    <xf numFmtId="170" fontId="43" fillId="0" borderId="51" xfId="4" applyNumberFormat="1" applyFont="1" applyFill="1" applyBorder="1" applyAlignment="1">
      <alignment horizontal="center" vertical="center"/>
    </xf>
    <xf numFmtId="170" fontId="43" fillId="0" borderId="55" xfId="4" applyNumberFormat="1" applyFont="1" applyFill="1" applyBorder="1" applyAlignment="1">
      <alignment horizontal="center" vertical="center"/>
    </xf>
    <xf numFmtId="170" fontId="43" fillId="0" borderId="61" xfId="4" applyNumberFormat="1" applyFont="1" applyFill="1" applyBorder="1" applyAlignment="1">
      <alignment horizontal="center" vertical="center"/>
    </xf>
    <xf numFmtId="170" fontId="43" fillId="0" borderId="57" xfId="4" applyNumberFormat="1" applyFont="1" applyFill="1" applyBorder="1" applyAlignment="1">
      <alignment horizontal="center" vertical="center"/>
    </xf>
    <xf numFmtId="10" fontId="8" fillId="4" borderId="0" xfId="0" applyNumberFormat="1" applyFont="1" applyFill="1" applyAlignment="1">
      <alignment horizontal="center" vertical="center"/>
    </xf>
    <xf numFmtId="165" fontId="8" fillId="4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166" fontId="21" fillId="0" borderId="64" xfId="3" applyFont="1" applyFill="1" applyBorder="1" applyAlignment="1" applyProtection="1">
      <alignment horizontal="center" vertical="center"/>
      <protection locked="0"/>
    </xf>
    <xf numFmtId="177" fontId="21" fillId="0" borderId="74" xfId="0" applyNumberFormat="1" applyFont="1" applyBorder="1" applyAlignment="1">
      <alignment horizontal="center" vertical="center"/>
    </xf>
    <xf numFmtId="177" fontId="21" fillId="0" borderId="0" xfId="0" applyNumberFormat="1" applyFont="1" applyAlignment="1">
      <alignment horizontal="center" vertical="center"/>
    </xf>
    <xf numFmtId="177" fontId="21" fillId="0" borderId="41" xfId="0" applyNumberFormat="1" applyFont="1" applyBorder="1" applyAlignment="1">
      <alignment horizontal="center" vertical="center"/>
    </xf>
    <xf numFmtId="0" fontId="36" fillId="4" borderId="0" xfId="0" applyFont="1" applyFill="1" applyAlignment="1">
      <alignment horizontal="center" vertical="center"/>
    </xf>
    <xf numFmtId="0" fontId="32" fillId="0" borderId="77" xfId="0" applyFont="1" applyBorder="1"/>
    <xf numFmtId="166" fontId="32" fillId="0" borderId="78" xfId="0" applyNumberFormat="1" applyFont="1" applyBorder="1"/>
    <xf numFmtId="166" fontId="35" fillId="0" borderId="77" xfId="0" applyNumberFormat="1" applyFont="1" applyBorder="1"/>
    <xf numFmtId="166" fontId="21" fillId="0" borderId="8" xfId="3" quotePrefix="1" applyFont="1" applyFill="1" applyBorder="1" applyAlignment="1" applyProtection="1">
      <alignment horizontal="center" vertical="center"/>
      <protection locked="0"/>
    </xf>
    <xf numFmtId="166" fontId="21" fillId="0" borderId="27" xfId="3" quotePrefix="1" applyFont="1" applyFill="1" applyBorder="1" applyAlignment="1" applyProtection="1">
      <alignment horizontal="center" vertical="center"/>
      <protection locked="0"/>
    </xf>
    <xf numFmtId="166" fontId="21" fillId="0" borderId="14" xfId="3" quotePrefix="1" applyFont="1" applyFill="1" applyBorder="1" applyAlignment="1" applyProtection="1">
      <alignment horizontal="center" vertical="center"/>
      <protection locked="0"/>
    </xf>
    <xf numFmtId="2" fontId="18" fillId="4" borderId="0" xfId="0" applyNumberFormat="1" applyFont="1" applyFill="1" applyAlignment="1">
      <alignment horizontal="center" vertical="center"/>
    </xf>
    <xf numFmtId="2" fontId="36" fillId="4" borderId="0" xfId="0" applyNumberFormat="1" applyFont="1" applyFill="1" applyAlignment="1">
      <alignment horizontal="center" vertical="center"/>
    </xf>
    <xf numFmtId="2" fontId="32" fillId="0" borderId="0" xfId="0" applyNumberFormat="1" applyFont="1"/>
    <xf numFmtId="0" fontId="32" fillId="0" borderId="0" xfId="0" applyFont="1" applyAlignment="1">
      <alignment horizontal="center"/>
    </xf>
    <xf numFmtId="166" fontId="8" fillId="4" borderId="0" xfId="0" applyNumberFormat="1" applyFont="1" applyFill="1" applyAlignment="1">
      <alignment horizontal="center" vertical="center"/>
    </xf>
    <xf numFmtId="164" fontId="46" fillId="0" borderId="28" xfId="0" applyNumberFormat="1" applyFont="1" applyBorder="1"/>
    <xf numFmtId="0" fontId="36" fillId="0" borderId="0" xfId="0" applyFont="1" applyAlignment="1">
      <alignment horizontal="center" vertical="center"/>
    </xf>
    <xf numFmtId="165" fontId="27" fillId="0" borderId="0" xfId="0" applyNumberFormat="1" applyFont="1" applyAlignment="1">
      <alignment horizontal="center"/>
    </xf>
    <xf numFmtId="10" fontId="21" fillId="0" borderId="55" xfId="4" applyNumberFormat="1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2" fontId="8" fillId="4" borderId="28" xfId="0" applyNumberFormat="1" applyFont="1" applyFill="1" applyBorder="1" applyAlignment="1">
      <alignment horizontal="center" vertical="center"/>
    </xf>
    <xf numFmtId="2" fontId="8" fillId="7" borderId="28" xfId="0" applyNumberFormat="1" applyFont="1" applyFill="1" applyBorder="1" applyAlignment="1">
      <alignment horizontal="center" vertical="center" wrapText="1"/>
    </xf>
    <xf numFmtId="0" fontId="27" fillId="0" borderId="28" xfId="0" applyFont="1" applyBorder="1" applyAlignment="1">
      <alignment horizontal="center"/>
    </xf>
    <xf numFmtId="0" fontId="27" fillId="0" borderId="28" xfId="0" applyFont="1" applyBorder="1"/>
    <xf numFmtId="0" fontId="0" fillId="0" borderId="28" xfId="0" applyBorder="1"/>
    <xf numFmtId="2" fontId="8" fillId="0" borderId="28" xfId="0" applyNumberFormat="1" applyFont="1" applyBorder="1" applyAlignment="1">
      <alignment horizontal="center" vertical="center" wrapText="1"/>
    </xf>
    <xf numFmtId="10" fontId="0" fillId="0" borderId="0" xfId="0" applyNumberFormat="1"/>
    <xf numFmtId="10" fontId="27" fillId="0" borderId="0" xfId="0" applyNumberFormat="1" applyFont="1" applyAlignment="1">
      <alignment horizontal="center"/>
    </xf>
    <xf numFmtId="166" fontId="21" fillId="0" borderId="2" xfId="3" quotePrefix="1" applyFont="1" applyFill="1" applyBorder="1" applyAlignment="1" applyProtection="1">
      <alignment horizontal="center" vertical="center"/>
      <protection locked="0"/>
    </xf>
    <xf numFmtId="0" fontId="8" fillId="4" borderId="45" xfId="0" applyFont="1" applyFill="1" applyBorder="1" applyAlignment="1">
      <alignment horizontal="center" vertical="center"/>
    </xf>
    <xf numFmtId="166" fontId="18" fillId="4" borderId="45" xfId="0" applyNumberFormat="1" applyFont="1" applyFill="1" applyBorder="1" applyAlignment="1">
      <alignment horizontal="center" vertical="center"/>
    </xf>
    <xf numFmtId="172" fontId="36" fillId="4" borderId="45" xfId="0" applyNumberFormat="1" applyFont="1" applyFill="1" applyBorder="1" applyAlignment="1">
      <alignment horizontal="center" vertical="center"/>
    </xf>
    <xf numFmtId="0" fontId="32" fillId="0" borderId="45" xfId="0" applyFont="1" applyBorder="1"/>
    <xf numFmtId="10" fontId="35" fillId="0" borderId="0" xfId="0" applyNumberFormat="1" applyFont="1"/>
    <xf numFmtId="2" fontId="35" fillId="0" borderId="0" xfId="0" applyNumberFormat="1" applyFont="1"/>
    <xf numFmtId="184" fontId="21" fillId="0" borderId="10" xfId="0" applyNumberFormat="1" applyFont="1" applyBorder="1" applyAlignment="1">
      <alignment horizontal="center" vertical="center"/>
    </xf>
    <xf numFmtId="166" fontId="32" fillId="0" borderId="0" xfId="0" applyNumberFormat="1" applyFont="1"/>
    <xf numFmtId="2" fontId="8" fillId="3" borderId="0" xfId="0" applyNumberFormat="1" applyFont="1" applyFill="1" applyAlignment="1">
      <alignment horizontal="center" vertical="top"/>
    </xf>
    <xf numFmtId="182" fontId="46" fillId="0" borderId="0" xfId="3" applyNumberFormat="1" applyFont="1"/>
    <xf numFmtId="2" fontId="8" fillId="4" borderId="44" xfId="0" applyNumberFormat="1" applyFont="1" applyFill="1" applyBorder="1" applyAlignment="1">
      <alignment horizontal="center" vertical="center"/>
    </xf>
    <xf numFmtId="0" fontId="32" fillId="0" borderId="24" xfId="0" applyFont="1" applyBorder="1"/>
    <xf numFmtId="0" fontId="32" fillId="0" borderId="37" xfId="0" applyFont="1" applyBorder="1"/>
    <xf numFmtId="2" fontId="8" fillId="4" borderId="35" xfId="0" applyNumberFormat="1" applyFont="1" applyFill="1" applyBorder="1" applyAlignment="1">
      <alignment horizontal="center" vertical="center"/>
    </xf>
    <xf numFmtId="166" fontId="27" fillId="0" borderId="28" xfId="0" applyNumberFormat="1" applyFont="1" applyBorder="1" applyAlignment="1">
      <alignment horizontal="center"/>
    </xf>
    <xf numFmtId="166" fontId="27" fillId="0" borderId="28" xfId="0" applyNumberFormat="1" applyFont="1" applyBorder="1"/>
    <xf numFmtId="166" fontId="0" fillId="0" borderId="28" xfId="0" applyNumberFormat="1" applyBorder="1"/>
    <xf numFmtId="181" fontId="47" fillId="0" borderId="0" xfId="3" applyNumberFormat="1" applyFont="1" applyAlignment="1">
      <alignment horizontal="center" vertical="center"/>
    </xf>
    <xf numFmtId="166" fontId="21" fillId="4" borderId="0" xfId="3" applyFont="1" applyFill="1" applyBorder="1" applyAlignment="1">
      <alignment horizontal="left" vertical="center"/>
    </xf>
    <xf numFmtId="9" fontId="35" fillId="0" borderId="0" xfId="4" applyFont="1"/>
    <xf numFmtId="9" fontId="0" fillId="0" borderId="0" xfId="4" applyFont="1"/>
    <xf numFmtId="165" fontId="48" fillId="0" borderId="0" xfId="0" applyNumberFormat="1" applyFont="1"/>
    <xf numFmtId="0" fontId="33" fillId="2" borderId="45" xfId="0" applyFont="1" applyFill="1" applyBorder="1" applyAlignment="1">
      <alignment vertical="top"/>
    </xf>
    <xf numFmtId="0" fontId="0" fillId="2" borderId="0" xfId="0" applyFill="1"/>
    <xf numFmtId="0" fontId="0" fillId="2" borderId="46" xfId="0" applyFill="1" applyBorder="1"/>
    <xf numFmtId="0" fontId="33" fillId="2" borderId="0" xfId="0" applyFont="1" applyFill="1" applyAlignment="1">
      <alignment vertical="top"/>
    </xf>
    <xf numFmtId="0" fontId="23" fillId="2" borderId="0" xfId="0" applyFont="1" applyFill="1"/>
    <xf numFmtId="0" fontId="23" fillId="2" borderId="46" xfId="0" applyFont="1" applyFill="1" applyBorder="1"/>
    <xf numFmtId="0" fontId="0" fillId="2" borderId="45" xfId="0" applyFill="1" applyBorder="1"/>
    <xf numFmtId="0" fontId="23" fillId="2" borderId="45" xfId="0" applyFont="1" applyFill="1" applyBorder="1"/>
    <xf numFmtId="0" fontId="9" fillId="2" borderId="45" xfId="0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0" fontId="9" fillId="2" borderId="46" xfId="0" applyFont="1" applyFill="1" applyBorder="1" applyAlignment="1">
      <alignment horizontal="right"/>
    </xf>
    <xf numFmtId="0" fontId="9" fillId="2" borderId="42" xfId="0" applyFont="1" applyFill="1" applyBorder="1" applyAlignment="1">
      <alignment horizontal="right"/>
    </xf>
    <xf numFmtId="0" fontId="9" fillId="2" borderId="24" xfId="0" applyFont="1" applyFill="1" applyBorder="1" applyAlignment="1">
      <alignment horizontal="right"/>
    </xf>
    <xf numFmtId="0" fontId="0" fillId="2" borderId="42" xfId="0" applyFill="1" applyBorder="1"/>
    <xf numFmtId="0" fontId="0" fillId="2" borderId="24" xfId="0" applyFill="1" applyBorder="1"/>
    <xf numFmtId="0" fontId="0" fillId="2" borderId="43" xfId="0" applyFill="1" applyBorder="1"/>
    <xf numFmtId="0" fontId="23" fillId="2" borderId="42" xfId="0" applyFont="1" applyFill="1" applyBorder="1"/>
    <xf numFmtId="0" fontId="23" fillId="2" borderId="24" xfId="0" applyFont="1" applyFill="1" applyBorder="1"/>
    <xf numFmtId="0" fontId="23" fillId="2" borderId="43" xfId="0" applyFont="1" applyFill="1" applyBorder="1"/>
    <xf numFmtId="0" fontId="15" fillId="0" borderId="0" xfId="0" applyFont="1" applyAlignment="1">
      <alignment horizontal="center" vertical="center"/>
    </xf>
    <xf numFmtId="168" fontId="21" fillId="0" borderId="54" xfId="0" applyNumberFormat="1" applyFont="1" applyBorder="1" applyAlignment="1">
      <alignment horizontal="center" vertical="center"/>
    </xf>
    <xf numFmtId="0" fontId="16" fillId="0" borderId="42" xfId="0" applyFont="1" applyBorder="1" applyAlignment="1">
      <alignment horizontal="right" vertical="center"/>
    </xf>
    <xf numFmtId="0" fontId="44" fillId="0" borderId="43" xfId="0" applyFont="1" applyBorder="1" applyAlignment="1">
      <alignment horizontal="center" vertical="center"/>
    </xf>
    <xf numFmtId="0" fontId="16" fillId="0" borderId="24" xfId="0" applyFont="1" applyBorder="1" applyAlignment="1">
      <alignment horizontal="right" vertical="center"/>
    </xf>
    <xf numFmtId="168" fontId="21" fillId="0" borderId="55" xfId="0" applyNumberFormat="1" applyFont="1" applyBorder="1" applyAlignment="1">
      <alignment horizontal="center" vertical="center"/>
    </xf>
    <xf numFmtId="168" fontId="21" fillId="0" borderId="74" xfId="0" applyNumberFormat="1" applyFont="1" applyBorder="1" applyAlignment="1">
      <alignment horizontal="center" vertical="center"/>
    </xf>
    <xf numFmtId="168" fontId="21" fillId="0" borderId="41" xfId="0" applyNumberFormat="1" applyFont="1" applyBorder="1" applyAlignment="1">
      <alignment horizontal="center" vertical="center"/>
    </xf>
    <xf numFmtId="166" fontId="21" fillId="0" borderId="9" xfId="3" quotePrefix="1" applyFont="1" applyFill="1" applyBorder="1" applyAlignment="1" applyProtection="1">
      <alignment horizontal="center" vertical="center"/>
      <protection locked="0"/>
    </xf>
    <xf numFmtId="166" fontId="21" fillId="0" borderId="72" xfId="3" quotePrefix="1" applyFont="1" applyFill="1" applyBorder="1" applyAlignment="1" applyProtection="1">
      <alignment horizontal="center" vertical="center"/>
      <protection locked="0"/>
    </xf>
    <xf numFmtId="166" fontId="21" fillId="0" borderId="65" xfId="3" quotePrefix="1" applyFont="1" applyFill="1" applyBorder="1" applyAlignment="1" applyProtection="1">
      <alignment horizontal="center" vertical="center"/>
      <protection locked="0"/>
    </xf>
    <xf numFmtId="166" fontId="21" fillId="0" borderId="30" xfId="3" quotePrefix="1" applyFont="1" applyFill="1" applyBorder="1" applyAlignment="1" applyProtection="1">
      <alignment horizontal="center" vertical="center"/>
      <protection locked="0"/>
    </xf>
    <xf numFmtId="166" fontId="21" fillId="0" borderId="3" xfId="3" quotePrefix="1" applyFont="1" applyFill="1" applyBorder="1" applyAlignment="1" applyProtection="1">
      <alignment horizontal="center" vertical="center"/>
      <protection locked="0"/>
    </xf>
    <xf numFmtId="10" fontId="21" fillId="0" borderId="61" xfId="4" applyNumberFormat="1" applyFont="1" applyFill="1" applyBorder="1" applyAlignment="1">
      <alignment horizontal="right" vertical="center"/>
    </xf>
    <xf numFmtId="166" fontId="21" fillId="0" borderId="26" xfId="3" applyFont="1" applyFill="1" applyBorder="1" applyAlignment="1">
      <alignment horizontal="left" vertical="center"/>
    </xf>
    <xf numFmtId="166" fontId="21" fillId="0" borderId="7" xfId="3" applyFont="1" applyFill="1" applyBorder="1" applyAlignment="1">
      <alignment horizontal="left" vertical="center"/>
    </xf>
    <xf numFmtId="10" fontId="21" fillId="0" borderId="57" xfId="4" applyNumberFormat="1" applyFont="1" applyFill="1" applyBorder="1" applyAlignment="1">
      <alignment horizontal="right" vertical="center"/>
    </xf>
    <xf numFmtId="0" fontId="16" fillId="0" borderId="40" xfId="0" applyFont="1" applyBorder="1" applyAlignment="1">
      <alignment horizontal="right" vertical="center"/>
    </xf>
    <xf numFmtId="0" fontId="44" fillId="0" borderId="11" xfId="0" applyFont="1" applyBorder="1" applyAlignment="1">
      <alignment horizontal="center" vertical="center"/>
    </xf>
    <xf numFmtId="0" fontId="4" fillId="0" borderId="40" xfId="0" applyFont="1" applyBorder="1" applyAlignment="1">
      <alignment vertical="center"/>
    </xf>
    <xf numFmtId="0" fontId="16" fillId="0" borderId="10" xfId="0" applyFont="1" applyBorder="1" applyAlignment="1">
      <alignment horizontal="right" vertical="center"/>
    </xf>
    <xf numFmtId="0" fontId="2" fillId="0" borderId="22" xfId="2" applyFont="1" applyBorder="1" applyAlignment="1">
      <alignment horizontal="center" vertical="center" textRotation="90" wrapText="1"/>
    </xf>
    <xf numFmtId="0" fontId="2" fillId="0" borderId="6" xfId="2" applyFont="1" applyBorder="1" applyAlignment="1">
      <alignment horizontal="center" vertical="center" textRotation="90" wrapText="1"/>
    </xf>
    <xf numFmtId="0" fontId="2" fillId="0" borderId="3" xfId="2" applyFont="1" applyBorder="1" applyAlignment="1">
      <alignment horizontal="center" vertical="center" textRotation="90" wrapText="1"/>
    </xf>
    <xf numFmtId="0" fontId="2" fillId="0" borderId="9" xfId="2" applyFont="1" applyBorder="1" applyAlignment="1">
      <alignment horizontal="center" vertical="center" textRotation="90" wrapText="1"/>
    </xf>
    <xf numFmtId="0" fontId="3" fillId="3" borderId="5" xfId="1" applyFont="1" applyFill="1" applyBorder="1" applyAlignment="1">
      <alignment horizontal="center" vertical="center" textRotation="1"/>
    </xf>
    <xf numFmtId="0" fontId="7" fillId="0" borderId="24" xfId="1" applyFont="1" applyBorder="1" applyAlignment="1">
      <alignment horizontal="left"/>
    </xf>
    <xf numFmtId="0" fontId="3" fillId="3" borderId="13" xfId="1" applyFont="1" applyFill="1" applyBorder="1" applyAlignment="1">
      <alignment horizontal="center" vertical="center"/>
    </xf>
    <xf numFmtId="0" fontId="3" fillId="3" borderId="25" xfId="1" applyFont="1" applyFill="1" applyBorder="1" applyAlignment="1">
      <alignment horizontal="center" vertical="center"/>
    </xf>
    <xf numFmtId="0" fontId="2" fillId="3" borderId="9" xfId="1" applyFont="1" applyFill="1" applyBorder="1" applyAlignment="1">
      <alignment horizontal="center" vertical="center" textRotation="90"/>
    </xf>
    <xf numFmtId="0" fontId="2" fillId="3" borderId="6" xfId="1" applyFont="1" applyFill="1" applyBorder="1" applyAlignment="1">
      <alignment horizontal="center" vertical="center" textRotation="90"/>
    </xf>
    <xf numFmtId="0" fontId="51" fillId="3" borderId="25" xfId="1" applyFont="1" applyFill="1" applyBorder="1" applyAlignment="1">
      <alignment horizontal="center" vertical="center" wrapText="1"/>
    </xf>
    <xf numFmtId="0" fontId="51" fillId="3" borderId="26" xfId="1" applyFont="1" applyFill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right"/>
    </xf>
    <xf numFmtId="0" fontId="18" fillId="5" borderId="37" xfId="0" applyFont="1" applyFill="1" applyBorder="1" applyAlignment="1">
      <alignment horizontal="right"/>
    </xf>
    <xf numFmtId="0" fontId="9" fillId="4" borderId="42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19" fillId="4" borderId="44" xfId="0" applyFont="1" applyFill="1" applyBorder="1" applyAlignment="1">
      <alignment horizontal="center" vertical="center" wrapText="1"/>
    </xf>
    <xf numFmtId="0" fontId="19" fillId="4" borderId="35" xfId="0" applyFont="1" applyFill="1" applyBorder="1" applyAlignment="1">
      <alignment horizontal="center" vertical="center" wrapText="1"/>
    </xf>
    <xf numFmtId="0" fontId="20" fillId="4" borderId="45" xfId="0" applyFont="1" applyFill="1" applyBorder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20" fillId="4" borderId="46" xfId="0" applyFont="1" applyFill="1" applyBorder="1" applyAlignment="1">
      <alignment horizontal="center" vertical="center" wrapText="1"/>
    </xf>
    <xf numFmtId="0" fontId="20" fillId="4" borderId="44" xfId="0" applyFont="1" applyFill="1" applyBorder="1" applyAlignment="1">
      <alignment horizontal="center" vertical="center" wrapText="1"/>
    </xf>
    <xf numFmtId="0" fontId="20" fillId="4" borderId="35" xfId="0" applyFont="1" applyFill="1" applyBorder="1" applyAlignment="1">
      <alignment horizontal="center" vertical="center" wrapText="1"/>
    </xf>
    <xf numFmtId="0" fontId="17" fillId="4" borderId="29" xfId="0" applyFont="1" applyFill="1" applyBorder="1" applyAlignment="1">
      <alignment horizontal="center" vertical="center"/>
    </xf>
    <xf numFmtId="0" fontId="17" fillId="4" borderId="37" xfId="0" applyFont="1" applyFill="1" applyBorder="1" applyAlignment="1">
      <alignment horizontal="center" vertical="center"/>
    </xf>
    <xf numFmtId="0" fontId="19" fillId="4" borderId="29" xfId="1" applyFont="1" applyFill="1" applyBorder="1" applyAlignment="1">
      <alignment horizontal="center" vertical="center" wrapText="1"/>
    </xf>
    <xf numFmtId="0" fontId="19" fillId="4" borderId="37" xfId="1" applyFont="1" applyFill="1" applyBorder="1" applyAlignment="1">
      <alignment horizontal="center" vertical="center" wrapText="1"/>
    </xf>
    <xf numFmtId="0" fontId="19" fillId="4" borderId="40" xfId="1" applyFont="1" applyFill="1" applyBorder="1" applyAlignment="1">
      <alignment horizontal="center" vertical="center" wrapText="1"/>
    </xf>
    <xf numFmtId="0" fontId="19" fillId="4" borderId="42" xfId="1" applyFont="1" applyFill="1" applyBorder="1" applyAlignment="1">
      <alignment horizontal="center" vertical="center" wrapText="1"/>
    </xf>
    <xf numFmtId="0" fontId="19" fillId="4" borderId="41" xfId="1" applyFont="1" applyFill="1" applyBorder="1" applyAlignment="1">
      <alignment horizontal="center" vertical="center" wrapText="1"/>
    </xf>
    <xf numFmtId="0" fontId="19" fillId="4" borderId="35" xfId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2" fillId="4" borderId="29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17" fillId="4" borderId="39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 wrapText="1"/>
    </xf>
    <xf numFmtId="0" fontId="18" fillId="4" borderId="29" xfId="0" applyFont="1" applyFill="1" applyBorder="1" applyAlignment="1">
      <alignment horizontal="center" vertical="center" wrapText="1"/>
    </xf>
    <xf numFmtId="0" fontId="17" fillId="4" borderId="29" xfId="0" applyFont="1" applyFill="1" applyBorder="1" applyAlignment="1">
      <alignment horizontal="center" vertical="center" wrapText="1"/>
    </xf>
    <xf numFmtId="0" fontId="17" fillId="4" borderId="37" xfId="0" applyFont="1" applyFill="1" applyBorder="1" applyAlignment="1">
      <alignment horizontal="center" vertical="center" wrapText="1"/>
    </xf>
    <xf numFmtId="0" fontId="17" fillId="4" borderId="39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8" fillId="4" borderId="37" xfId="0" applyFont="1" applyFill="1" applyBorder="1" applyAlignment="1">
      <alignment horizontal="center" vertical="center"/>
    </xf>
    <xf numFmtId="0" fontId="18" fillId="4" borderId="39" xfId="0" applyFont="1" applyFill="1" applyBorder="1" applyAlignment="1">
      <alignment horizontal="center" vertical="center"/>
    </xf>
    <xf numFmtId="0" fontId="18" fillId="4" borderId="41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 wrapText="1"/>
    </xf>
    <xf numFmtId="0" fontId="19" fillId="4" borderId="42" xfId="0" applyFont="1" applyFill="1" applyBorder="1" applyAlignment="1">
      <alignment horizontal="center" vertical="center" wrapText="1"/>
    </xf>
    <xf numFmtId="0" fontId="19" fillId="4" borderId="24" xfId="0" applyFont="1" applyFill="1" applyBorder="1" applyAlignment="1">
      <alignment horizontal="center" vertical="center" wrapText="1"/>
    </xf>
    <xf numFmtId="0" fontId="19" fillId="4" borderId="43" xfId="0" applyFont="1" applyFill="1" applyBorder="1" applyAlignment="1">
      <alignment horizontal="center" vertical="center" wrapText="1"/>
    </xf>
    <xf numFmtId="0" fontId="19" fillId="4" borderId="42" xfId="0" applyFont="1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43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12" fillId="3" borderId="28" xfId="0" applyFont="1" applyFill="1" applyBorder="1" applyAlignment="1">
      <alignment horizontal="center" vertical="center"/>
    </xf>
    <xf numFmtId="0" fontId="31" fillId="3" borderId="45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1" fillId="3" borderId="46" xfId="0" applyFont="1" applyFill="1" applyBorder="1" applyAlignment="1">
      <alignment horizontal="center" vertical="center"/>
    </xf>
    <xf numFmtId="180" fontId="10" fillId="0" borderId="5" xfId="0" applyNumberFormat="1" applyFont="1" applyBorder="1" applyAlignment="1">
      <alignment horizontal="left" vertical="center"/>
    </xf>
    <xf numFmtId="0" fontId="10" fillId="2" borderId="27" xfId="0" applyFont="1" applyFill="1" applyBorder="1" applyAlignment="1">
      <alignment horizontal="right" vertical="center"/>
    </xf>
    <xf numFmtId="0" fontId="9" fillId="2" borderId="25" xfId="0" applyFont="1" applyFill="1" applyBorder="1" applyAlignment="1">
      <alignment horizontal="right" vertical="center"/>
    </xf>
    <xf numFmtId="166" fontId="9" fillId="2" borderId="25" xfId="0" applyNumberFormat="1" applyFont="1" applyFill="1" applyBorder="1" applyAlignment="1">
      <alignment horizontal="center" vertical="center"/>
    </xf>
    <xf numFmtId="166" fontId="9" fillId="2" borderId="26" xfId="0" applyNumberFormat="1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right" vertical="center"/>
    </xf>
    <xf numFmtId="0" fontId="9" fillId="2" borderId="54" xfId="0" applyFont="1" applyFill="1" applyBorder="1" applyAlignment="1">
      <alignment horizontal="right" vertical="center"/>
    </xf>
    <xf numFmtId="166" fontId="9" fillId="2" borderId="54" xfId="0" applyNumberFormat="1" applyFont="1" applyFill="1" applyBorder="1" applyAlignment="1">
      <alignment horizontal="center" vertical="center"/>
    </xf>
    <xf numFmtId="166" fontId="9" fillId="2" borderId="56" xfId="0" applyNumberFormat="1" applyFont="1" applyFill="1" applyBorder="1" applyAlignment="1">
      <alignment horizontal="center" vertical="center"/>
    </xf>
    <xf numFmtId="180" fontId="10" fillId="0" borderId="5" xfId="0" applyNumberFormat="1" applyFont="1" applyBorder="1" applyAlignment="1">
      <alignment horizontal="center" vertical="center"/>
    </xf>
    <xf numFmtId="0" fontId="23" fillId="0" borderId="45" xfId="0" applyFont="1" applyBorder="1" applyAlignment="1">
      <alignment horizontal="left" indent="1"/>
    </xf>
    <xf numFmtId="0" fontId="23" fillId="0" borderId="0" xfId="0" applyFont="1" applyAlignment="1">
      <alignment horizontal="left" indent="1"/>
    </xf>
    <xf numFmtId="0" fontId="23" fillId="0" borderId="46" xfId="0" applyFont="1" applyBorder="1" applyAlignment="1">
      <alignment horizontal="left" indent="1"/>
    </xf>
    <xf numFmtId="180" fontId="10" fillId="0" borderId="2" xfId="0" applyNumberFormat="1" applyFont="1" applyBorder="1" applyAlignment="1">
      <alignment horizontal="center" vertical="center"/>
    </xf>
    <xf numFmtId="0" fontId="9" fillId="2" borderId="36" xfId="0" applyFont="1" applyFill="1" applyBorder="1" applyAlignment="1">
      <alignment horizontal="right" vertical="center"/>
    </xf>
    <xf numFmtId="0" fontId="9" fillId="2" borderId="60" xfId="0" applyFont="1" applyFill="1" applyBorder="1" applyAlignment="1">
      <alignment horizontal="right" vertical="center"/>
    </xf>
    <xf numFmtId="166" fontId="9" fillId="2" borderId="60" xfId="0" applyNumberFormat="1" applyFont="1" applyFill="1" applyBorder="1" applyAlignment="1">
      <alignment horizontal="center" vertical="center"/>
    </xf>
    <xf numFmtId="166" fontId="9" fillId="2" borderId="62" xfId="0" applyNumberFormat="1" applyFont="1" applyFill="1" applyBorder="1" applyAlignment="1">
      <alignment horizontal="center" vertical="center"/>
    </xf>
    <xf numFmtId="0" fontId="34" fillId="0" borderId="42" xfId="0" applyFont="1" applyBorder="1" applyAlignment="1">
      <alignment horizontal="left" vertical="top" indent="1"/>
    </xf>
    <xf numFmtId="0" fontId="34" fillId="0" borderId="24" xfId="0" applyFont="1" applyBorder="1" applyAlignment="1">
      <alignment horizontal="left" vertical="top" indent="1"/>
    </xf>
    <xf numFmtId="0" fontId="34" fillId="0" borderId="43" xfId="0" applyFont="1" applyBorder="1" applyAlignment="1">
      <alignment horizontal="left" vertical="top" indent="1"/>
    </xf>
    <xf numFmtId="166" fontId="0" fillId="0" borderId="1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3" fillId="2" borderId="0" xfId="0" applyFont="1" applyFill="1" applyAlignment="1">
      <alignment horizontal="left" indent="1"/>
    </xf>
    <xf numFmtId="0" fontId="23" fillId="2" borderId="46" xfId="0" applyFont="1" applyFill="1" applyBorder="1" applyAlignment="1">
      <alignment horizontal="left" indent="1"/>
    </xf>
    <xf numFmtId="0" fontId="34" fillId="2" borderId="42" xfId="0" applyFont="1" applyFill="1" applyBorder="1" applyAlignment="1">
      <alignment horizontal="left" vertical="top" indent="1"/>
    </xf>
    <xf numFmtId="0" fontId="34" fillId="2" borderId="24" xfId="0" applyFont="1" applyFill="1" applyBorder="1" applyAlignment="1">
      <alignment horizontal="left" vertical="top" indent="1"/>
    </xf>
    <xf numFmtId="0" fontId="34" fillId="2" borderId="43" xfId="0" applyFont="1" applyFill="1" applyBorder="1" applyAlignment="1">
      <alignment horizontal="left" vertical="top" indent="1"/>
    </xf>
    <xf numFmtId="183" fontId="45" fillId="0" borderId="24" xfId="0" applyNumberFormat="1" applyFont="1" applyBorder="1" applyAlignment="1">
      <alignment horizontal="left" vertical="center"/>
    </xf>
    <xf numFmtId="183" fontId="45" fillId="0" borderId="43" xfId="0" applyNumberFormat="1" applyFont="1" applyBorder="1" applyAlignment="1">
      <alignment horizontal="left" vertical="center"/>
    </xf>
    <xf numFmtId="0" fontId="49" fillId="0" borderId="29" xfId="0" applyFont="1" applyBorder="1" applyAlignment="1">
      <alignment horizontal="center" vertical="center"/>
    </xf>
    <xf numFmtId="0" fontId="49" fillId="0" borderId="37" xfId="0" applyFont="1" applyBorder="1" applyAlignment="1">
      <alignment horizontal="center" vertical="center"/>
    </xf>
    <xf numFmtId="0" fontId="49" fillId="0" borderId="39" xfId="0" applyFont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right" vertical="center"/>
    </xf>
    <xf numFmtId="0" fontId="18" fillId="2" borderId="60" xfId="0" applyFont="1" applyFill="1" applyBorder="1" applyAlignment="1">
      <alignment horizontal="right" vertical="center"/>
    </xf>
    <xf numFmtId="166" fontId="18" fillId="2" borderId="60" xfId="0" applyNumberFormat="1" applyFont="1" applyFill="1" applyBorder="1" applyAlignment="1">
      <alignment horizontal="center" vertical="center"/>
    </xf>
    <xf numFmtId="166" fontId="18" fillId="2" borderId="62" xfId="0" applyNumberFormat="1" applyFont="1" applyFill="1" applyBorder="1" applyAlignment="1">
      <alignment horizontal="center" vertical="center"/>
    </xf>
    <xf numFmtId="166" fontId="37" fillId="0" borderId="10" xfId="0" applyNumberFormat="1" applyFont="1" applyBorder="1" applyAlignment="1">
      <alignment horizontal="center"/>
    </xf>
    <xf numFmtId="165" fontId="35" fillId="0" borderId="0" xfId="0" applyNumberFormat="1" applyFont="1" applyAlignment="1">
      <alignment horizontal="center"/>
    </xf>
    <xf numFmtId="0" fontId="18" fillId="2" borderId="31" xfId="0" applyFont="1" applyFill="1" applyBorder="1" applyAlignment="1">
      <alignment horizontal="right" vertical="center"/>
    </xf>
    <xf numFmtId="0" fontId="18" fillId="2" borderId="54" xfId="0" applyFont="1" applyFill="1" applyBorder="1" applyAlignment="1">
      <alignment horizontal="right" vertical="center"/>
    </xf>
    <xf numFmtId="166" fontId="18" fillId="2" borderId="54" xfId="0" applyNumberFormat="1" applyFont="1" applyFill="1" applyBorder="1" applyAlignment="1">
      <alignment horizontal="center" vertical="center"/>
    </xf>
    <xf numFmtId="166" fontId="18" fillId="2" borderId="56" xfId="0" applyNumberFormat="1" applyFont="1" applyFill="1" applyBorder="1" applyAlignment="1">
      <alignment horizontal="center" vertical="center"/>
    </xf>
    <xf numFmtId="180" fontId="8" fillId="0" borderId="5" xfId="0" applyNumberFormat="1" applyFont="1" applyBorder="1" applyAlignment="1">
      <alignment horizontal="center" vertical="center"/>
    </xf>
    <xf numFmtId="0" fontId="39" fillId="3" borderId="28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right" vertical="center"/>
    </xf>
    <xf numFmtId="0" fontId="18" fillId="2" borderId="25" xfId="0" applyFont="1" applyFill="1" applyBorder="1" applyAlignment="1">
      <alignment horizontal="right" vertical="center"/>
    </xf>
    <xf numFmtId="166" fontId="18" fillId="2" borderId="25" xfId="0" applyNumberFormat="1" applyFont="1" applyFill="1" applyBorder="1" applyAlignment="1">
      <alignment horizontal="center" vertical="center"/>
    </xf>
    <xf numFmtId="166" fontId="18" fillId="2" borderId="26" xfId="0" applyNumberFormat="1" applyFont="1" applyFill="1" applyBorder="1" applyAlignment="1">
      <alignment horizontal="center" vertical="center"/>
    </xf>
    <xf numFmtId="180" fontId="8" fillId="0" borderId="2" xfId="0" applyNumberFormat="1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left" vertical="center"/>
    </xf>
    <xf numFmtId="0" fontId="38" fillId="3" borderId="9" xfId="0" applyFont="1" applyFill="1" applyBorder="1" applyAlignment="1">
      <alignment horizontal="center" vertical="center"/>
    </xf>
    <xf numFmtId="0" fontId="38" fillId="3" borderId="6" xfId="0" applyFont="1" applyFill="1" applyBorder="1" applyAlignment="1">
      <alignment horizontal="center" vertical="center"/>
    </xf>
    <xf numFmtId="0" fontId="38" fillId="3" borderId="8" xfId="0" applyFont="1" applyFill="1" applyBorder="1" applyAlignment="1">
      <alignment horizontal="center" vertical="center"/>
    </xf>
    <xf numFmtId="0" fontId="38" fillId="3" borderId="5" xfId="0" applyFont="1" applyFill="1" applyBorder="1" applyAlignment="1">
      <alignment horizontal="center" vertical="center"/>
    </xf>
    <xf numFmtId="0" fontId="19" fillId="4" borderId="2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83" fontId="45" fillId="0" borderId="10" xfId="0" applyNumberFormat="1" applyFont="1" applyBorder="1" applyAlignment="1">
      <alignment horizontal="left" vertical="center"/>
    </xf>
    <xf numFmtId="183" fontId="45" fillId="0" borderId="11" xfId="0" applyNumberFormat="1" applyFont="1" applyBorder="1" applyAlignment="1">
      <alignment horizontal="left" vertical="center"/>
    </xf>
    <xf numFmtId="0" fontId="50" fillId="0" borderId="29" xfId="0" applyFont="1" applyBorder="1" applyAlignment="1">
      <alignment horizontal="center"/>
    </xf>
    <xf numFmtId="0" fontId="50" fillId="0" borderId="37" xfId="0" applyFont="1" applyBorder="1" applyAlignment="1">
      <alignment horizontal="center"/>
    </xf>
    <xf numFmtId="0" fontId="50" fillId="0" borderId="39" xfId="0" applyFont="1" applyBorder="1" applyAlignment="1">
      <alignment horizontal="center"/>
    </xf>
    <xf numFmtId="0" fontId="18" fillId="4" borderId="42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37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</cellXfs>
  <cellStyles count="30">
    <cellStyle name="Comma" xfId="3" builtinId="3"/>
    <cellStyle name="Comma 2" xfId="6"/>
    <cellStyle name="Comma 2 2" xfId="26"/>
    <cellStyle name="Comma 2 3" xfId="18"/>
    <cellStyle name="Comma 3" xfId="23"/>
    <cellStyle name="Comma 4" xfId="19"/>
    <cellStyle name="Comma 5" xfId="9"/>
    <cellStyle name="Comma 8" xfId="15"/>
    <cellStyle name="Comma 9" xfId="16"/>
    <cellStyle name="Currency" xfId="5" builtinId="4"/>
    <cellStyle name="Currency 2" xfId="7"/>
    <cellStyle name="Currency 2 2" xfId="27"/>
    <cellStyle name="Currency 3" xfId="24"/>
    <cellStyle name="Currency 4" xfId="20"/>
    <cellStyle name="Currency 5" xfId="10"/>
    <cellStyle name="Normal" xfId="0" builtinId="0"/>
    <cellStyle name="Normal 2" xfId="2"/>
    <cellStyle name="Normal 2 2" xfId="12"/>
    <cellStyle name="Normal 2 3" xfId="21"/>
    <cellStyle name="Normal 2 4" xfId="11"/>
    <cellStyle name="Normal 3" xfId="1"/>
    <cellStyle name="Normal 3 2" xfId="22"/>
    <cellStyle name="Normal 3 3" xfId="14"/>
    <cellStyle name="Normal 4" xfId="17"/>
    <cellStyle name="Normal 4 2" xfId="25"/>
    <cellStyle name="Normal 5" xfId="29"/>
    <cellStyle name="Normal 6" xfId="13"/>
    <cellStyle name="Normal 7" xfId="8"/>
    <cellStyle name="Percent" xfId="4" builtinId="5"/>
    <cellStyle name="Percent 2" xfId="28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tes\PBCLTMMJKRSARAWAK\Shared%2520Documents\Slide%2520Presentation\2021\August2021\Progress%2520Tracking%2520Table%2520EPB%2520&amp;%2520ECSB%25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-Curve Division"/>
      <sheetName val="Overal category and feature"/>
      <sheetName val="Features Overall Physical"/>
      <sheetName val="S Curve Overall Cumulative "/>
      <sheetName val="Sheet1"/>
      <sheetName val="S Curve Miri Cumulative"/>
      <sheetName val="S Curve Niah Cumulative"/>
      <sheetName val="SLIDE"/>
      <sheetName val="SLIDE 2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E15">
            <v>159328.4745057309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0.59999389629810485"/>
  </sheetPr>
  <dimension ref="A1:G41"/>
  <sheetViews>
    <sheetView showGridLines="0" tabSelected="1" view="pageBreakPreview" zoomScale="115" zoomScaleNormal="70" zoomScaleSheetLayoutView="115" workbookViewId="0">
      <selection activeCell="E4" sqref="E4"/>
    </sheetView>
  </sheetViews>
  <sheetFormatPr defaultColWidth="8.81640625" defaultRowHeight="12.5" x14ac:dyDescent="0.25"/>
  <cols>
    <col min="1" max="1" width="5.54296875" style="2" customWidth="1"/>
    <col min="2" max="2" width="5.54296875" style="1" bestFit="1" customWidth="1"/>
    <col min="3" max="3" width="2" style="1" bestFit="1" customWidth="1"/>
    <col min="4" max="4" width="46" style="1" customWidth="1"/>
    <col min="5" max="5" width="10.1796875" style="1" customWidth="1"/>
    <col min="6" max="6" width="12.54296875" style="1" customWidth="1"/>
    <col min="7" max="7" width="13" style="1" customWidth="1"/>
    <col min="8" max="16384" width="8.81640625" style="1"/>
  </cols>
  <sheetData>
    <row r="1" spans="1:7" ht="20" x14ac:dyDescent="0.4">
      <c r="A1" s="507" t="s">
        <v>68</v>
      </c>
      <c r="B1" s="507"/>
      <c r="C1" s="507"/>
      <c r="D1" s="507"/>
      <c r="E1" s="507"/>
      <c r="F1" s="507"/>
      <c r="G1" s="507"/>
    </row>
    <row r="2" spans="1:7" ht="23.5" customHeight="1" x14ac:dyDescent="0.25">
      <c r="A2" s="510" t="s">
        <v>6</v>
      </c>
      <c r="B2" s="508" t="s">
        <v>69</v>
      </c>
      <c r="C2" s="509"/>
      <c r="D2" s="509"/>
      <c r="E2" s="509"/>
      <c r="F2" s="512"/>
      <c r="G2" s="513"/>
    </row>
    <row r="3" spans="1:7" s="3" customFormat="1" ht="26" x14ac:dyDescent="0.25">
      <c r="A3" s="511"/>
      <c r="B3" s="506" t="s">
        <v>0</v>
      </c>
      <c r="C3" s="506"/>
      <c r="D3" s="24" t="s">
        <v>70</v>
      </c>
      <c r="E3" s="25" t="s">
        <v>5</v>
      </c>
      <c r="F3" s="64" t="s">
        <v>71</v>
      </c>
      <c r="G3" s="23" t="s">
        <v>72</v>
      </c>
    </row>
    <row r="4" spans="1:7" ht="18" customHeight="1" x14ac:dyDescent="0.25">
      <c r="A4" s="505" t="s">
        <v>12</v>
      </c>
      <c r="B4" s="4">
        <v>1011</v>
      </c>
      <c r="C4" s="5"/>
      <c r="D4" s="14" t="s">
        <v>13</v>
      </c>
      <c r="E4" s="19"/>
      <c r="F4" s="65"/>
      <c r="G4" s="60"/>
    </row>
    <row r="5" spans="1:7" ht="18" customHeight="1" x14ac:dyDescent="0.25">
      <c r="A5" s="502"/>
      <c r="B5" s="6">
        <v>1012</v>
      </c>
      <c r="C5" s="7"/>
      <c r="D5" s="15" t="s">
        <v>14</v>
      </c>
      <c r="E5" s="20"/>
      <c r="F5" s="66"/>
      <c r="G5" s="61"/>
    </row>
    <row r="6" spans="1:7" ht="18" customHeight="1" x14ac:dyDescent="0.25">
      <c r="A6" s="503"/>
      <c r="B6" s="8">
        <v>3013</v>
      </c>
      <c r="C6" s="9"/>
      <c r="D6" s="16" t="s">
        <v>15</v>
      </c>
      <c r="E6" s="21"/>
      <c r="F6" s="67"/>
      <c r="G6" s="62"/>
    </row>
    <row r="7" spans="1:7" ht="18" customHeight="1" x14ac:dyDescent="0.25">
      <c r="A7" s="503"/>
      <c r="B7" s="8">
        <v>3014</v>
      </c>
      <c r="C7" s="9"/>
      <c r="D7" s="16" t="s">
        <v>16</v>
      </c>
      <c r="E7" s="21"/>
      <c r="F7" s="67"/>
      <c r="G7" s="62"/>
    </row>
    <row r="8" spans="1:7" ht="18" customHeight="1" x14ac:dyDescent="0.25">
      <c r="A8" s="503"/>
      <c r="B8" s="8">
        <v>3015</v>
      </c>
      <c r="C8" s="9"/>
      <c r="D8" s="16" t="s">
        <v>17</v>
      </c>
      <c r="E8" s="21"/>
      <c r="F8" s="67"/>
      <c r="G8" s="62"/>
    </row>
    <row r="9" spans="1:7" ht="18" customHeight="1" x14ac:dyDescent="0.25">
      <c r="A9" s="503"/>
      <c r="B9" s="8">
        <v>3016</v>
      </c>
      <c r="C9" s="9"/>
      <c r="D9" s="16" t="s">
        <v>18</v>
      </c>
      <c r="E9" s="21"/>
      <c r="F9" s="67"/>
      <c r="G9" s="62"/>
    </row>
    <row r="10" spans="1:7" ht="18" customHeight="1" x14ac:dyDescent="0.25">
      <c r="A10" s="503"/>
      <c r="B10" s="8">
        <v>3017</v>
      </c>
      <c r="C10" s="9"/>
      <c r="D10" s="16" t="s">
        <v>19</v>
      </c>
      <c r="E10" s="21"/>
      <c r="F10" s="67"/>
      <c r="G10" s="62"/>
    </row>
    <row r="11" spans="1:7" ht="18" customHeight="1" x14ac:dyDescent="0.25">
      <c r="A11" s="503"/>
      <c r="B11" s="8">
        <v>3018</v>
      </c>
      <c r="C11" s="9"/>
      <c r="D11" s="16" t="s">
        <v>20</v>
      </c>
      <c r="E11" s="21"/>
      <c r="F11" s="67"/>
      <c r="G11" s="62"/>
    </row>
    <row r="12" spans="1:7" ht="18" customHeight="1" x14ac:dyDescent="0.25">
      <c r="A12" s="504"/>
      <c r="B12" s="10">
        <v>3019</v>
      </c>
      <c r="C12" s="11"/>
      <c r="D12" s="17" t="s">
        <v>21</v>
      </c>
      <c r="E12" s="22"/>
      <c r="F12" s="68"/>
      <c r="G12" s="63"/>
    </row>
    <row r="13" spans="1:7" ht="18" customHeight="1" x14ac:dyDescent="0.25">
      <c r="A13" s="505" t="s">
        <v>58</v>
      </c>
      <c r="B13" s="4">
        <v>1021</v>
      </c>
      <c r="C13" s="5"/>
      <c r="D13" s="14" t="s">
        <v>23</v>
      </c>
      <c r="E13" s="20"/>
      <c r="F13" s="66"/>
      <c r="G13" s="61"/>
    </row>
    <row r="14" spans="1:7" ht="18" customHeight="1" x14ac:dyDescent="0.25">
      <c r="A14" s="503"/>
      <c r="B14" s="8">
        <v>3022</v>
      </c>
      <c r="C14" s="9"/>
      <c r="D14" s="16" t="s">
        <v>24</v>
      </c>
      <c r="E14" s="21"/>
      <c r="F14" s="67"/>
      <c r="G14" s="62"/>
    </row>
    <row r="15" spans="1:7" ht="18" customHeight="1" x14ac:dyDescent="0.25">
      <c r="A15" s="503"/>
      <c r="B15" s="8">
        <v>3023</v>
      </c>
      <c r="C15" s="9"/>
      <c r="D15" s="16" t="s">
        <v>25</v>
      </c>
      <c r="E15" s="21"/>
      <c r="F15" s="67"/>
      <c r="G15" s="62"/>
    </row>
    <row r="16" spans="1:7" ht="18" customHeight="1" x14ac:dyDescent="0.25">
      <c r="A16" s="504"/>
      <c r="B16" s="12">
        <v>3024</v>
      </c>
      <c r="C16" s="13"/>
      <c r="D16" s="18" t="s">
        <v>27</v>
      </c>
      <c r="E16" s="22"/>
      <c r="F16" s="68"/>
      <c r="G16" s="63"/>
    </row>
    <row r="17" spans="1:7" ht="18" customHeight="1" x14ac:dyDescent="0.25">
      <c r="A17" s="505" t="s">
        <v>59</v>
      </c>
      <c r="B17" s="6">
        <v>1041</v>
      </c>
      <c r="C17" s="7"/>
      <c r="D17" s="15" t="s">
        <v>29</v>
      </c>
      <c r="E17" s="20"/>
      <c r="F17" s="66"/>
      <c r="G17" s="61"/>
    </row>
    <row r="18" spans="1:7" ht="18" customHeight="1" x14ac:dyDescent="0.25">
      <c r="A18" s="503"/>
      <c r="B18" s="8">
        <v>1042</v>
      </c>
      <c r="C18" s="9"/>
      <c r="D18" s="16" t="s">
        <v>30</v>
      </c>
      <c r="E18" s="21"/>
      <c r="F18" s="67"/>
      <c r="G18" s="62"/>
    </row>
    <row r="19" spans="1:7" ht="18" customHeight="1" x14ac:dyDescent="0.25">
      <c r="A19" s="503"/>
      <c r="B19" s="8">
        <v>1043</v>
      </c>
      <c r="C19" s="9"/>
      <c r="D19" s="16" t="s">
        <v>31</v>
      </c>
      <c r="E19" s="21"/>
      <c r="F19" s="67"/>
      <c r="G19" s="62"/>
    </row>
    <row r="20" spans="1:7" ht="18" customHeight="1" x14ac:dyDescent="0.25">
      <c r="A20" s="503"/>
      <c r="B20" s="8">
        <v>4044</v>
      </c>
      <c r="C20" s="9"/>
      <c r="D20" s="16" t="s">
        <v>32</v>
      </c>
      <c r="E20" s="21"/>
      <c r="F20" s="67"/>
      <c r="G20" s="62"/>
    </row>
    <row r="21" spans="1:7" ht="18" customHeight="1" x14ac:dyDescent="0.25">
      <c r="A21" s="504"/>
      <c r="B21" s="10">
        <v>4045</v>
      </c>
      <c r="C21" s="11"/>
      <c r="D21" s="17" t="s">
        <v>33</v>
      </c>
      <c r="E21" s="22"/>
      <c r="F21" s="68"/>
      <c r="G21" s="63"/>
    </row>
    <row r="22" spans="1:7" ht="18" customHeight="1" x14ac:dyDescent="0.25">
      <c r="A22" s="502" t="s">
        <v>34</v>
      </c>
      <c r="B22" s="4">
        <v>1031</v>
      </c>
      <c r="C22" s="5"/>
      <c r="D22" s="14" t="s">
        <v>35</v>
      </c>
      <c r="E22" s="20"/>
      <c r="F22" s="66"/>
      <c r="G22" s="60"/>
    </row>
    <row r="23" spans="1:7" ht="18" customHeight="1" x14ac:dyDescent="0.25">
      <c r="A23" s="503"/>
      <c r="B23" s="8">
        <v>1032</v>
      </c>
      <c r="C23" s="9"/>
      <c r="D23" s="16" t="s">
        <v>36</v>
      </c>
      <c r="E23" s="21"/>
      <c r="F23" s="67"/>
      <c r="G23" s="62"/>
    </row>
    <row r="24" spans="1:7" ht="18" customHeight="1" x14ac:dyDescent="0.25">
      <c r="A24" s="503"/>
      <c r="B24" s="8">
        <v>4033</v>
      </c>
      <c r="C24" s="9"/>
      <c r="D24" s="16" t="s">
        <v>37</v>
      </c>
      <c r="E24" s="21"/>
      <c r="F24" s="67"/>
      <c r="G24" s="62"/>
    </row>
    <row r="25" spans="1:7" ht="18" customHeight="1" x14ac:dyDescent="0.25">
      <c r="A25" s="504"/>
      <c r="B25" s="12">
        <v>4034</v>
      </c>
      <c r="C25" s="13"/>
      <c r="D25" s="18" t="s">
        <v>38</v>
      </c>
      <c r="E25" s="22"/>
      <c r="F25" s="68"/>
      <c r="G25" s="63"/>
    </row>
    <row r="26" spans="1:7" ht="18" customHeight="1" x14ac:dyDescent="0.25">
      <c r="A26" s="505" t="s">
        <v>39</v>
      </c>
      <c r="B26" s="6">
        <v>1051</v>
      </c>
      <c r="C26" s="7"/>
      <c r="D26" s="15" t="s">
        <v>40</v>
      </c>
      <c r="E26" s="20"/>
      <c r="F26" s="66"/>
      <c r="G26" s="60"/>
    </row>
    <row r="27" spans="1:7" ht="18" customHeight="1" x14ac:dyDescent="0.25">
      <c r="A27" s="504"/>
      <c r="B27" s="10">
        <v>6052</v>
      </c>
      <c r="C27" s="11"/>
      <c r="D27" s="17" t="s">
        <v>41</v>
      </c>
      <c r="E27" s="22"/>
      <c r="F27" s="68"/>
      <c r="G27" s="63"/>
    </row>
    <row r="28" spans="1:7" ht="18" customHeight="1" x14ac:dyDescent="0.25">
      <c r="A28" s="505" t="s">
        <v>42</v>
      </c>
      <c r="B28" s="4">
        <v>1061</v>
      </c>
      <c r="C28" s="5"/>
      <c r="D28" s="14" t="s">
        <v>43</v>
      </c>
      <c r="E28" s="20"/>
      <c r="F28" s="66"/>
      <c r="G28" s="61"/>
    </row>
    <row r="29" spans="1:7" ht="18" customHeight="1" x14ac:dyDescent="0.25">
      <c r="A29" s="503"/>
      <c r="B29" s="8">
        <v>6062</v>
      </c>
      <c r="C29" s="9"/>
      <c r="D29" s="16" t="s">
        <v>44</v>
      </c>
      <c r="E29" s="21"/>
      <c r="F29" s="67"/>
      <c r="G29" s="62"/>
    </row>
    <row r="30" spans="1:7" ht="18" customHeight="1" x14ac:dyDescent="0.25">
      <c r="A30" s="504"/>
      <c r="B30" s="12">
        <v>6063</v>
      </c>
      <c r="C30" s="13"/>
      <c r="D30" s="18" t="s">
        <v>45</v>
      </c>
      <c r="E30" s="22"/>
      <c r="F30" s="68"/>
      <c r="G30" s="63"/>
    </row>
    <row r="31" spans="1:7" ht="18" customHeight="1" x14ac:dyDescent="0.25">
      <c r="A31" s="502" t="s">
        <v>46</v>
      </c>
      <c r="B31" s="6">
        <v>1071</v>
      </c>
      <c r="C31" s="7"/>
      <c r="D31" s="15" t="s">
        <v>47</v>
      </c>
      <c r="E31" s="20"/>
      <c r="F31" s="66"/>
      <c r="G31" s="61"/>
    </row>
    <row r="32" spans="1:7" ht="18" customHeight="1" x14ac:dyDescent="0.25">
      <c r="A32" s="503"/>
      <c r="B32" s="8">
        <v>1072</v>
      </c>
      <c r="C32" s="9"/>
      <c r="D32" s="16" t="s">
        <v>48</v>
      </c>
      <c r="E32" s="21"/>
      <c r="F32" s="67"/>
      <c r="G32" s="62"/>
    </row>
    <row r="33" spans="1:7" ht="18" customHeight="1" x14ac:dyDescent="0.25">
      <c r="A33" s="503"/>
      <c r="B33" s="8">
        <v>1073</v>
      </c>
      <c r="C33" s="9"/>
      <c r="D33" s="16" t="s">
        <v>49</v>
      </c>
      <c r="E33" s="21"/>
      <c r="F33" s="67"/>
      <c r="G33" s="62"/>
    </row>
    <row r="34" spans="1:7" ht="18" customHeight="1" x14ac:dyDescent="0.25">
      <c r="A34" s="503"/>
      <c r="B34" s="8">
        <v>7074</v>
      </c>
      <c r="C34" s="9"/>
      <c r="D34" s="16" t="s">
        <v>50</v>
      </c>
      <c r="E34" s="21"/>
      <c r="F34" s="67"/>
      <c r="G34" s="62"/>
    </row>
    <row r="35" spans="1:7" ht="18" customHeight="1" x14ac:dyDescent="0.25">
      <c r="A35" s="504"/>
      <c r="B35" s="8">
        <v>7075</v>
      </c>
      <c r="C35" s="9"/>
      <c r="D35" s="16" t="s">
        <v>51</v>
      </c>
      <c r="E35" s="22"/>
      <c r="F35" s="68"/>
      <c r="G35" s="63"/>
    </row>
    <row r="36" spans="1:7" ht="18" customHeight="1" x14ac:dyDescent="0.25">
      <c r="A36" s="505" t="s">
        <v>73</v>
      </c>
      <c r="B36" s="4">
        <v>9091</v>
      </c>
      <c r="C36" s="5"/>
      <c r="D36" s="14" t="s">
        <v>52</v>
      </c>
      <c r="E36" s="20"/>
      <c r="F36" s="66"/>
      <c r="G36" s="61"/>
    </row>
    <row r="37" spans="1:7" ht="18" customHeight="1" x14ac:dyDescent="0.25">
      <c r="A37" s="503"/>
      <c r="B37" s="8">
        <v>9092</v>
      </c>
      <c r="C37" s="9"/>
      <c r="D37" s="16" t="s">
        <v>53</v>
      </c>
      <c r="E37" s="21"/>
      <c r="F37" s="67"/>
      <c r="G37" s="62"/>
    </row>
    <row r="38" spans="1:7" ht="18" customHeight="1" x14ac:dyDescent="0.25">
      <c r="A38" s="503"/>
      <c r="B38" s="8">
        <v>9093</v>
      </c>
      <c r="C38" s="9"/>
      <c r="D38" s="16" t="s">
        <v>54</v>
      </c>
      <c r="E38" s="21"/>
      <c r="F38" s="67"/>
      <c r="G38" s="62"/>
    </row>
    <row r="39" spans="1:7" ht="18" customHeight="1" x14ac:dyDescent="0.25">
      <c r="A39" s="503"/>
      <c r="B39" s="8">
        <v>9194</v>
      </c>
      <c r="C39" s="9"/>
      <c r="D39" s="16" t="s">
        <v>55</v>
      </c>
      <c r="E39" s="21"/>
      <c r="F39" s="67"/>
      <c r="G39" s="62"/>
    </row>
    <row r="40" spans="1:7" ht="18" customHeight="1" x14ac:dyDescent="0.25">
      <c r="A40" s="503"/>
      <c r="B40" s="8">
        <v>9195</v>
      </c>
      <c r="C40" s="9"/>
      <c r="D40" s="16" t="s">
        <v>56</v>
      </c>
      <c r="E40" s="21"/>
      <c r="F40" s="67"/>
      <c r="G40" s="62"/>
    </row>
    <row r="41" spans="1:7" ht="18" customHeight="1" x14ac:dyDescent="0.25">
      <c r="A41" s="504"/>
      <c r="B41" s="12">
        <v>9500</v>
      </c>
      <c r="C41" s="13"/>
      <c r="D41" s="18" t="s">
        <v>57</v>
      </c>
      <c r="E41" s="22"/>
      <c r="F41" s="68"/>
      <c r="G41" s="63"/>
    </row>
  </sheetData>
  <mergeCells count="13">
    <mergeCell ref="B3:C3"/>
    <mergeCell ref="A1:G1"/>
    <mergeCell ref="A31:A35"/>
    <mergeCell ref="A36:A41"/>
    <mergeCell ref="B2:E2"/>
    <mergeCell ref="A4:A12"/>
    <mergeCell ref="A13:A16"/>
    <mergeCell ref="A17:A21"/>
    <mergeCell ref="A22:A25"/>
    <mergeCell ref="A26:A27"/>
    <mergeCell ref="A28:A30"/>
    <mergeCell ref="A2:A3"/>
    <mergeCell ref="F2:G2"/>
  </mergeCells>
  <pageMargins left="0.70866141732283472" right="0.31496062992125984" top="0.74803149606299213" bottom="0.74803149606299213" header="0.31496062992125984" footer="0.31496062992125984"/>
  <pageSetup paperSize="9"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  <pageSetUpPr fitToPage="1"/>
  </sheetPr>
  <dimension ref="A1:AF77"/>
  <sheetViews>
    <sheetView showGridLines="0" view="pageBreakPreview" topLeftCell="L28" zoomScaleNormal="70" zoomScaleSheetLayoutView="100" workbookViewId="0">
      <selection activeCell="G8" sqref="G8"/>
    </sheetView>
  </sheetViews>
  <sheetFormatPr defaultRowHeight="14.5" x14ac:dyDescent="0.35"/>
  <cols>
    <col min="1" max="1" width="8.54296875" customWidth="1"/>
    <col min="2" max="2" width="4.54296875" customWidth="1"/>
    <col min="3" max="3" width="0.1796875" customWidth="1"/>
    <col min="4" max="4" width="29.54296875" customWidth="1"/>
    <col min="5" max="5" width="7.81640625" bestFit="1" customWidth="1"/>
    <col min="6" max="6" width="7.1796875" customWidth="1"/>
    <col min="7" max="7" width="6.81640625" customWidth="1"/>
    <col min="8" max="8" width="11.54296875" bestFit="1" customWidth="1"/>
    <col min="9" max="11" width="4.54296875" style="48" customWidth="1"/>
    <col min="12" max="12" width="6.54296875" customWidth="1"/>
    <col min="13" max="14" width="6.81640625" customWidth="1"/>
    <col min="15" max="15" width="7.1796875" customWidth="1"/>
    <col min="16" max="16" width="9" customWidth="1"/>
    <col min="17" max="17" width="8" customWidth="1"/>
    <col min="18" max="18" width="8.7265625" bestFit="1" customWidth="1"/>
    <col min="19" max="19" width="9.453125" bestFit="1" customWidth="1"/>
    <col min="20" max="20" width="9.453125" customWidth="1"/>
    <col min="21" max="21" width="3.81640625" customWidth="1"/>
    <col min="22" max="22" width="6.453125" customWidth="1"/>
    <col min="23" max="23" width="8.1796875" customWidth="1"/>
    <col min="24" max="24" width="7.1796875" customWidth="1"/>
    <col min="25" max="25" width="6.81640625" customWidth="1"/>
    <col min="26" max="26" width="11.81640625" customWidth="1"/>
    <col min="27" max="27" width="8.54296875" customWidth="1"/>
    <col min="28" max="28" width="12.81640625" customWidth="1"/>
    <col min="29" max="29" width="7.54296875" bestFit="1" customWidth="1"/>
    <col min="30" max="30" width="12.54296875" style="48" customWidth="1"/>
    <col min="31" max="31" width="9.1796875" style="357"/>
    <col min="32" max="32" width="9.1796875" style="333"/>
  </cols>
  <sheetData>
    <row r="1" spans="1:32" ht="18" x14ac:dyDescent="0.35">
      <c r="A1" s="542" t="s">
        <v>74</v>
      </c>
      <c r="B1" s="542"/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  <c r="R1" s="542"/>
      <c r="S1" s="542"/>
      <c r="T1" s="542"/>
      <c r="U1" s="542"/>
      <c r="V1" s="542"/>
      <c r="W1" s="542"/>
      <c r="X1" s="542"/>
      <c r="Y1" s="542"/>
      <c r="Z1" s="542"/>
      <c r="AA1" s="542"/>
      <c r="AB1" s="542"/>
      <c r="AC1" s="542"/>
      <c r="AD1" s="542"/>
    </row>
    <row r="2" spans="1:32" ht="18" x14ac:dyDescent="0.35">
      <c r="A2" s="543" t="s">
        <v>75</v>
      </c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3"/>
      <c r="N2" s="543"/>
      <c r="O2" s="543"/>
      <c r="P2" s="543"/>
      <c r="Q2" s="543"/>
      <c r="R2" s="543"/>
      <c r="S2" s="543"/>
      <c r="T2" s="543"/>
      <c r="U2" s="543"/>
      <c r="V2" s="543"/>
      <c r="W2" s="543"/>
      <c r="X2" s="543"/>
      <c r="Y2" s="543"/>
      <c r="Z2" s="543"/>
      <c r="AA2" s="543"/>
      <c r="AB2" s="543"/>
      <c r="AC2" s="543"/>
      <c r="AD2" s="543"/>
    </row>
    <row r="3" spans="1:32" ht="15.5" x14ac:dyDescent="0.35">
      <c r="A3" s="544" t="s">
        <v>76</v>
      </c>
      <c r="B3" s="545"/>
      <c r="C3" s="545"/>
      <c r="D3" s="545"/>
      <c r="E3" s="545"/>
      <c r="F3" s="545"/>
      <c r="G3" s="545"/>
      <c r="H3" s="545"/>
      <c r="I3" s="545"/>
      <c r="J3" s="545"/>
      <c r="K3" s="545"/>
      <c r="L3" s="545"/>
      <c r="M3" s="545"/>
      <c r="N3" s="545"/>
      <c r="O3" s="545"/>
      <c r="P3" s="545"/>
      <c r="Q3" s="545"/>
      <c r="R3" s="545"/>
      <c r="S3" s="545"/>
      <c r="T3" s="545"/>
      <c r="U3" s="545"/>
      <c r="V3" s="545"/>
      <c r="W3" s="545"/>
      <c r="X3" s="545"/>
      <c r="Y3" s="545"/>
      <c r="Z3" s="545"/>
      <c r="AA3" s="545"/>
      <c r="AB3" s="545"/>
      <c r="AC3" s="545"/>
      <c r="AD3" s="545"/>
    </row>
    <row r="4" spans="1:32" ht="7.4" customHeight="1" x14ac:dyDescent="0.35">
      <c r="A4" s="26"/>
      <c r="B4" s="27"/>
      <c r="C4" s="27"/>
      <c r="D4" s="26"/>
      <c r="E4" s="27"/>
      <c r="F4" s="27"/>
      <c r="G4" s="27"/>
      <c r="H4" s="27"/>
      <c r="I4" s="27"/>
      <c r="J4" s="27"/>
      <c r="K4" s="27"/>
      <c r="L4" s="26"/>
      <c r="M4" s="546"/>
      <c r="N4" s="546"/>
      <c r="O4" s="26"/>
      <c r="P4" s="26"/>
      <c r="W4" s="28"/>
      <c r="X4" s="28"/>
      <c r="Y4" s="26"/>
      <c r="Z4" s="26"/>
      <c r="AA4" s="26"/>
      <c r="AB4" s="26"/>
      <c r="AC4" s="26"/>
      <c r="AD4" s="26"/>
    </row>
    <row r="5" spans="1:32" ht="14.5" customHeight="1" x14ac:dyDescent="0.35">
      <c r="A5" s="547" t="s">
        <v>6</v>
      </c>
      <c r="B5" s="548" t="s">
        <v>7</v>
      </c>
      <c r="C5" s="548"/>
      <c r="D5" s="548"/>
      <c r="E5" s="548" t="s">
        <v>6</v>
      </c>
      <c r="F5" s="548"/>
      <c r="G5" s="548"/>
      <c r="H5" s="548"/>
      <c r="I5" s="534" t="s">
        <v>77</v>
      </c>
      <c r="J5" s="535"/>
      <c r="K5" s="535"/>
      <c r="L5" s="535"/>
      <c r="M5" s="535"/>
      <c r="N5" s="535"/>
      <c r="O5" s="535"/>
      <c r="P5" s="535"/>
      <c r="Q5" s="535"/>
      <c r="R5" s="535"/>
      <c r="S5" s="535"/>
      <c r="T5" s="549"/>
      <c r="U5" s="550" t="s">
        <v>78</v>
      </c>
      <c r="V5" s="551"/>
      <c r="W5" s="534" t="s">
        <v>79</v>
      </c>
      <c r="X5" s="535"/>
      <c r="Y5" s="535"/>
      <c r="Z5" s="535"/>
      <c r="AA5" s="535"/>
      <c r="AB5" s="552" t="s">
        <v>80</v>
      </c>
      <c r="AC5" s="553"/>
      <c r="AD5" s="554"/>
    </row>
    <row r="6" spans="1:32" ht="14.5" customHeight="1" x14ac:dyDescent="0.35">
      <c r="A6" s="547"/>
      <c r="B6" s="555" t="s">
        <v>8</v>
      </c>
      <c r="C6" s="556"/>
      <c r="D6" s="548" t="s">
        <v>4</v>
      </c>
      <c r="E6" s="559" t="s">
        <v>81</v>
      </c>
      <c r="F6" s="560"/>
      <c r="G6" s="561"/>
      <c r="H6" s="562" t="s">
        <v>82</v>
      </c>
      <c r="I6" s="564" t="s">
        <v>83</v>
      </c>
      <c r="J6" s="565"/>
      <c r="K6" s="566"/>
      <c r="L6" s="567" t="s">
        <v>84</v>
      </c>
      <c r="M6" s="568"/>
      <c r="N6" s="568"/>
      <c r="O6" s="569"/>
      <c r="P6" s="527" t="s">
        <v>85</v>
      </c>
      <c r="Q6" s="529" t="s">
        <v>86</v>
      </c>
      <c r="R6" s="530"/>
      <c r="S6" s="531"/>
      <c r="T6" s="532" t="s">
        <v>87</v>
      </c>
      <c r="U6" s="550"/>
      <c r="V6" s="551"/>
      <c r="W6" s="536" t="s">
        <v>83</v>
      </c>
      <c r="X6" s="537"/>
      <c r="Y6" s="538" t="s">
        <v>88</v>
      </c>
      <c r="Z6" s="538" t="s">
        <v>84</v>
      </c>
      <c r="AA6" s="540" t="s">
        <v>89</v>
      </c>
      <c r="AB6" s="523" t="s">
        <v>90</v>
      </c>
      <c r="AC6" s="524"/>
      <c r="AD6" s="29" t="s">
        <v>91</v>
      </c>
    </row>
    <row r="7" spans="1:32" x14ac:dyDescent="0.35">
      <c r="A7" s="547"/>
      <c r="B7" s="557"/>
      <c r="C7" s="558"/>
      <c r="D7" s="548"/>
      <c r="E7" s="30" t="s">
        <v>9</v>
      </c>
      <c r="F7" s="31" t="s">
        <v>10</v>
      </c>
      <c r="G7" s="32" t="s">
        <v>11</v>
      </c>
      <c r="H7" s="563"/>
      <c r="I7" s="30" t="s">
        <v>9</v>
      </c>
      <c r="J7" s="31" t="s">
        <v>10</v>
      </c>
      <c r="K7" s="32" t="s">
        <v>11</v>
      </c>
      <c r="L7" s="30" t="s">
        <v>9</v>
      </c>
      <c r="M7" s="31" t="s">
        <v>10</v>
      </c>
      <c r="N7" s="33" t="s">
        <v>11</v>
      </c>
      <c r="O7" s="34" t="s">
        <v>92</v>
      </c>
      <c r="P7" s="528"/>
      <c r="Q7" s="35" t="s">
        <v>93</v>
      </c>
      <c r="R7" s="36" t="s">
        <v>94</v>
      </c>
      <c r="S7" s="37" t="s">
        <v>95</v>
      </c>
      <c r="T7" s="533"/>
      <c r="U7" s="30" t="s">
        <v>96</v>
      </c>
      <c r="V7" s="33" t="s">
        <v>5</v>
      </c>
      <c r="W7" s="38" t="s">
        <v>97</v>
      </c>
      <c r="X7" s="39" t="s">
        <v>98</v>
      </c>
      <c r="Y7" s="539"/>
      <c r="Z7" s="539"/>
      <c r="AA7" s="541"/>
      <c r="AB7" s="40" t="s">
        <v>99</v>
      </c>
      <c r="AC7" s="71" t="s">
        <v>100</v>
      </c>
      <c r="AD7" s="41" t="s">
        <v>99</v>
      </c>
    </row>
    <row r="8" spans="1:32" ht="14.15" customHeight="1" x14ac:dyDescent="0.35">
      <c r="A8" s="525" t="s">
        <v>12</v>
      </c>
      <c r="B8" s="140">
        <v>1011</v>
      </c>
      <c r="C8" s="42"/>
      <c r="D8" s="141" t="s">
        <v>101</v>
      </c>
      <c r="E8" s="111">
        <f>60.7</f>
        <v>60.7</v>
      </c>
      <c r="F8" s="181">
        <f>33.69</f>
        <v>33.69</v>
      </c>
      <c r="G8" s="142">
        <f>18.88+19.8</f>
        <v>38.68</v>
      </c>
      <c r="H8" s="258">
        <f t="shared" ref="H8:H22" si="0">SUM(E8:G8)</f>
        <v>133.07</v>
      </c>
      <c r="I8" s="144">
        <v>1</v>
      </c>
      <c r="J8" s="145">
        <v>2</v>
      </c>
      <c r="K8" s="146">
        <v>5</v>
      </c>
      <c r="L8" s="183">
        <f>E8*I8</f>
        <v>60.7</v>
      </c>
      <c r="M8" s="184">
        <f>F8*J8</f>
        <v>67.38</v>
      </c>
      <c r="N8" s="194">
        <f>G8*K8</f>
        <v>193.4</v>
      </c>
      <c r="O8" s="190">
        <f>SUM(L8:N8)</f>
        <v>321.48</v>
      </c>
      <c r="P8" s="126">
        <f>O8/U8</f>
        <v>53.580000000000005</v>
      </c>
      <c r="Q8" s="147">
        <v>490.01</v>
      </c>
      <c r="R8" s="90">
        <v>1003.93</v>
      </c>
      <c r="S8" s="148">
        <v>207.12</v>
      </c>
      <c r="T8" s="149">
        <f>SUM(Q8:S8)</f>
        <v>1701.06</v>
      </c>
      <c r="U8" s="115">
        <v>6</v>
      </c>
      <c r="V8" s="139" t="s">
        <v>60</v>
      </c>
      <c r="W8" s="221">
        <f>SUM(O8/H8)</f>
        <v>2.4158713459081689</v>
      </c>
      <c r="X8" s="277">
        <f>SUM(Y8*W8)</f>
        <v>0.60396783647704222</v>
      </c>
      <c r="Y8" s="202">
        <v>0.25</v>
      </c>
      <c r="Z8" s="253">
        <f>Y8*O8</f>
        <v>80.37</v>
      </c>
      <c r="AA8" s="228">
        <f>SUM(Z8/U8)</f>
        <v>13.395000000000001</v>
      </c>
      <c r="AB8" s="233">
        <f>SUM(T8*AA8)</f>
        <v>22785.698700000001</v>
      </c>
      <c r="AC8" s="234">
        <f>SUM(AB8/$AB$47)</f>
        <v>6.1214289676116375E-3</v>
      </c>
      <c r="AD8" s="236"/>
      <c r="AE8" s="357">
        <v>20</v>
      </c>
      <c r="AF8" s="333" t="s">
        <v>102</v>
      </c>
    </row>
    <row r="9" spans="1:32" ht="14.15" customHeight="1" x14ac:dyDescent="0.35">
      <c r="A9" s="517"/>
      <c r="B9" s="73">
        <v>1012</v>
      </c>
      <c r="C9" s="43"/>
      <c r="D9" s="91" t="s">
        <v>103</v>
      </c>
      <c r="E9" s="127">
        <f>60.7</f>
        <v>60.7</v>
      </c>
      <c r="F9" s="123">
        <f>33.69</f>
        <v>33.69</v>
      </c>
      <c r="G9" s="128">
        <f>18.88+19.8</f>
        <v>38.68</v>
      </c>
      <c r="H9" s="259">
        <f t="shared" si="0"/>
        <v>133.07</v>
      </c>
      <c r="I9" s="96">
        <v>1</v>
      </c>
      <c r="J9" s="97">
        <v>2</v>
      </c>
      <c r="K9" s="98">
        <v>5</v>
      </c>
      <c r="L9" s="99">
        <f t="shared" ref="L9:L43" si="1">E9*I9</f>
        <v>60.7</v>
      </c>
      <c r="M9" s="100">
        <f t="shared" ref="M9:M15" si="2">F9*J9</f>
        <v>67.38</v>
      </c>
      <c r="N9" s="188">
        <f t="shared" ref="N9:N43" si="3">G9*K9</f>
        <v>193.4</v>
      </c>
      <c r="O9" s="150">
        <f t="shared" ref="O9:O45" si="4">SUM(L9:N9)</f>
        <v>321.48</v>
      </c>
      <c r="P9" s="101">
        <f t="shared" ref="P9:P45" si="5">O9/U9</f>
        <v>64.296000000000006</v>
      </c>
      <c r="Q9" s="154">
        <v>490.01</v>
      </c>
      <c r="R9" s="87">
        <v>1003.93</v>
      </c>
      <c r="S9" s="88">
        <v>652.5</v>
      </c>
      <c r="T9" s="189">
        <f t="shared" ref="T9:T43" si="6">SUM(Q9:S9)</f>
        <v>2146.44</v>
      </c>
      <c r="U9" s="96">
        <v>5</v>
      </c>
      <c r="V9" s="152" t="s">
        <v>60</v>
      </c>
      <c r="W9" s="221">
        <f t="shared" ref="W9:W45" si="7">SUM(O9/H9)</f>
        <v>2.4158713459081689</v>
      </c>
      <c r="X9" s="274">
        <f t="shared" ref="X9:X43" si="8">SUM(Y9*W9)</f>
        <v>0.60396783647704222</v>
      </c>
      <c r="Y9" s="203">
        <v>0.25</v>
      </c>
      <c r="Z9" s="253">
        <f t="shared" ref="Z9:Z43" si="9">Y9*O9</f>
        <v>80.37</v>
      </c>
      <c r="AA9" s="228">
        <f t="shared" ref="AA9:AA43" si="10">SUM(Z9/U9)</f>
        <v>16.074000000000002</v>
      </c>
      <c r="AB9" s="233">
        <f t="shared" ref="AB9:AB43" si="11">SUM(T9*AA9)</f>
        <v>34501.876560000004</v>
      </c>
      <c r="AC9" s="234">
        <f t="shared" ref="AC9:AC43" si="12">SUM(AB9/$AB$47)</f>
        <v>9.2690063794859615E-3</v>
      </c>
      <c r="AD9" s="237"/>
      <c r="AE9" s="357">
        <v>20</v>
      </c>
      <c r="AF9" s="333" t="s">
        <v>102</v>
      </c>
    </row>
    <row r="10" spans="1:32" ht="14.15" customHeight="1" x14ac:dyDescent="0.35">
      <c r="A10" s="517"/>
      <c r="B10" s="73">
        <v>3013</v>
      </c>
      <c r="C10" s="43"/>
      <c r="D10" s="91" t="s">
        <v>104</v>
      </c>
      <c r="E10" s="198">
        <f>60.7*9</f>
        <v>546.30000000000007</v>
      </c>
      <c r="F10" s="93">
        <f>33.69*9</f>
        <v>303.20999999999998</v>
      </c>
      <c r="G10" s="128">
        <f>38.68*9</f>
        <v>348.12</v>
      </c>
      <c r="H10" s="260">
        <f t="shared" si="0"/>
        <v>1197.6300000000001</v>
      </c>
      <c r="I10" s="96">
        <v>0.1</v>
      </c>
      <c r="J10" s="97">
        <v>0.7</v>
      </c>
      <c r="K10" s="98" t="s">
        <v>2</v>
      </c>
      <c r="L10" s="99">
        <f t="shared" si="1"/>
        <v>54.63000000000001</v>
      </c>
      <c r="M10" s="100">
        <f t="shared" si="2"/>
        <v>212.24699999999999</v>
      </c>
      <c r="N10" s="188"/>
      <c r="O10" s="150">
        <f t="shared" si="4"/>
        <v>266.87700000000001</v>
      </c>
      <c r="P10" s="101">
        <f t="shared" si="5"/>
        <v>116.03347826086957</v>
      </c>
      <c r="Q10" s="151">
        <v>2158.2199999999998</v>
      </c>
      <c r="R10" s="103">
        <v>8544.2999999999993</v>
      </c>
      <c r="S10" s="104">
        <v>86307.5</v>
      </c>
      <c r="T10" s="105">
        <f t="shared" si="6"/>
        <v>97010.02</v>
      </c>
      <c r="U10" s="96">
        <v>2.2999999999999998</v>
      </c>
      <c r="V10" s="152" t="s">
        <v>61</v>
      </c>
      <c r="W10" s="221">
        <f t="shared" si="7"/>
        <v>0.22283760426843013</v>
      </c>
      <c r="X10" s="227">
        <f t="shared" si="8"/>
        <v>2.0055384384158711E-2</v>
      </c>
      <c r="Y10" s="203">
        <v>0.09</v>
      </c>
      <c r="Z10" s="253">
        <f t="shared" si="9"/>
        <v>24.018930000000001</v>
      </c>
      <c r="AA10" s="228">
        <f t="shared" si="10"/>
        <v>10.443013043478262</v>
      </c>
      <c r="AB10" s="233">
        <f t="shared" si="11"/>
        <v>1013076.904208087</v>
      </c>
      <c r="AC10" s="234">
        <f t="shared" si="12"/>
        <v>0.27216537835803573</v>
      </c>
      <c r="AD10" s="237"/>
      <c r="AE10" s="357">
        <v>3.5</v>
      </c>
      <c r="AF10" s="333" t="s">
        <v>105</v>
      </c>
    </row>
    <row r="11" spans="1:32" ht="14.15" customHeight="1" x14ac:dyDescent="0.35">
      <c r="A11" s="517"/>
      <c r="B11" s="73">
        <v>3014</v>
      </c>
      <c r="C11" s="43"/>
      <c r="D11" s="91" t="s">
        <v>106</v>
      </c>
      <c r="E11" s="198">
        <f>60.7</f>
        <v>60.7</v>
      </c>
      <c r="F11" s="123">
        <f>33.69</f>
        <v>33.69</v>
      </c>
      <c r="G11" s="173">
        <f>18.88+19.8</f>
        <v>38.68</v>
      </c>
      <c r="H11" s="259">
        <f t="shared" si="0"/>
        <v>133.07</v>
      </c>
      <c r="I11" s="80" t="s">
        <v>2</v>
      </c>
      <c r="J11" s="81">
        <v>30</v>
      </c>
      <c r="K11" s="82">
        <v>90</v>
      </c>
      <c r="L11" s="99"/>
      <c r="M11" s="100">
        <f t="shared" si="2"/>
        <v>1010.6999999999999</v>
      </c>
      <c r="N11" s="188">
        <f t="shared" si="3"/>
        <v>3481.2</v>
      </c>
      <c r="O11" s="150">
        <f t="shared" si="4"/>
        <v>4491.8999999999996</v>
      </c>
      <c r="P11" s="101">
        <f t="shared" si="5"/>
        <v>299.45999999999998</v>
      </c>
      <c r="Q11" s="154">
        <v>1308.51</v>
      </c>
      <c r="R11" s="103">
        <v>3801.7</v>
      </c>
      <c r="S11" s="104">
        <v>9221.25</v>
      </c>
      <c r="T11" s="89">
        <f t="shared" si="6"/>
        <v>14331.46</v>
      </c>
      <c r="U11" s="80">
        <v>15</v>
      </c>
      <c r="V11" s="152" t="s">
        <v>3</v>
      </c>
      <c r="W11" s="221">
        <f t="shared" si="7"/>
        <v>33.755917937927407</v>
      </c>
      <c r="X11" s="273">
        <f t="shared" si="8"/>
        <v>1.0126775381378221</v>
      </c>
      <c r="Y11" s="203">
        <v>0.03</v>
      </c>
      <c r="Z11" s="253">
        <f t="shared" si="9"/>
        <v>134.75699999999998</v>
      </c>
      <c r="AA11" s="228">
        <f t="shared" si="10"/>
        <v>8.9837999999999987</v>
      </c>
      <c r="AB11" s="233">
        <f t="shared" si="11"/>
        <v>128750.97034799997</v>
      </c>
      <c r="AC11" s="234">
        <f t="shared" si="12"/>
        <v>3.4589236427336502E-2</v>
      </c>
      <c r="AD11" s="235">
        <f>SUM(AB8:AB16)</f>
        <v>1965683.2850402249</v>
      </c>
      <c r="AE11" s="357">
        <v>2</v>
      </c>
      <c r="AF11" s="333" t="s">
        <v>107</v>
      </c>
    </row>
    <row r="12" spans="1:32" ht="14.15" customHeight="1" x14ac:dyDescent="0.35">
      <c r="A12" s="517"/>
      <c r="B12" s="73">
        <v>3015</v>
      </c>
      <c r="C12" s="43"/>
      <c r="D12" s="91" t="s">
        <v>108</v>
      </c>
      <c r="E12" s="127">
        <f>60.7</f>
        <v>60.7</v>
      </c>
      <c r="F12" s="93">
        <f>33.69</f>
        <v>33.69</v>
      </c>
      <c r="G12" s="128">
        <f>18.88+19.8</f>
        <v>38.68</v>
      </c>
      <c r="H12" s="259">
        <f t="shared" si="0"/>
        <v>133.07</v>
      </c>
      <c r="I12" s="157">
        <v>100</v>
      </c>
      <c r="J12" s="97">
        <v>200</v>
      </c>
      <c r="K12" s="152" t="s">
        <v>2</v>
      </c>
      <c r="L12" s="99">
        <f t="shared" si="1"/>
        <v>6070</v>
      </c>
      <c r="M12" s="100">
        <f t="shared" si="2"/>
        <v>6738</v>
      </c>
      <c r="N12" s="188"/>
      <c r="O12" s="150">
        <f t="shared" si="4"/>
        <v>12808</v>
      </c>
      <c r="P12" s="101">
        <f t="shared" si="5"/>
        <v>42.693333333333335</v>
      </c>
      <c r="Q12" s="154">
        <v>767.14</v>
      </c>
      <c r="R12" s="103">
        <v>1529.8</v>
      </c>
      <c r="S12" s="104">
        <v>348.3</v>
      </c>
      <c r="T12" s="189">
        <f t="shared" si="6"/>
        <v>2645.2400000000002</v>
      </c>
      <c r="U12" s="96">
        <v>300</v>
      </c>
      <c r="V12" s="152" t="s">
        <v>62</v>
      </c>
      <c r="W12" s="221">
        <f t="shared" si="7"/>
        <v>96.250093935522656</v>
      </c>
      <c r="X12" s="274"/>
      <c r="Y12" s="203" t="s">
        <v>2</v>
      </c>
      <c r="Z12" s="253"/>
      <c r="AA12" s="228"/>
      <c r="AB12" s="233"/>
      <c r="AC12" s="234"/>
      <c r="AD12" s="238">
        <f>SUM(AC8:AC16)</f>
        <v>0.5280852152317469</v>
      </c>
    </row>
    <row r="13" spans="1:32" ht="14.15" customHeight="1" x14ac:dyDescent="0.35">
      <c r="A13" s="517"/>
      <c r="B13" s="73">
        <v>3016</v>
      </c>
      <c r="C13" s="43"/>
      <c r="D13" s="91" t="s">
        <v>109</v>
      </c>
      <c r="E13" s="198">
        <f>60.7*9</f>
        <v>546.30000000000007</v>
      </c>
      <c r="F13" s="93">
        <f>33.69*9</f>
        <v>303.20999999999998</v>
      </c>
      <c r="G13" s="128">
        <f>38.68*9</f>
        <v>348.12</v>
      </c>
      <c r="H13" s="260">
        <f t="shared" si="0"/>
        <v>1197.6300000000001</v>
      </c>
      <c r="I13" s="157">
        <v>0.05</v>
      </c>
      <c r="J13" s="97">
        <v>0.15</v>
      </c>
      <c r="K13" s="152" t="s">
        <v>2</v>
      </c>
      <c r="L13" s="99">
        <f t="shared" si="1"/>
        <v>27.315000000000005</v>
      </c>
      <c r="M13" s="100">
        <f t="shared" si="2"/>
        <v>45.481499999999997</v>
      </c>
      <c r="N13" s="188"/>
      <c r="O13" s="150">
        <f t="shared" si="4"/>
        <v>72.796500000000009</v>
      </c>
      <c r="P13" s="101">
        <f t="shared" si="5"/>
        <v>14.559300000000002</v>
      </c>
      <c r="Q13" s="154">
        <v>1086.48</v>
      </c>
      <c r="R13" s="103">
        <v>3727.46</v>
      </c>
      <c r="S13" s="104">
        <v>15636.68</v>
      </c>
      <c r="T13" s="105">
        <f t="shared" si="6"/>
        <v>20450.620000000003</v>
      </c>
      <c r="U13" s="80">
        <v>5</v>
      </c>
      <c r="V13" s="152" t="s">
        <v>61</v>
      </c>
      <c r="W13" s="221">
        <f t="shared" si="7"/>
        <v>6.0783798001052082E-2</v>
      </c>
      <c r="X13" s="227"/>
      <c r="Y13" s="203" t="s">
        <v>2</v>
      </c>
      <c r="Z13" s="253"/>
      <c r="AA13" s="228"/>
      <c r="AB13" s="233"/>
      <c r="AC13" s="234"/>
      <c r="AD13" s="237"/>
    </row>
    <row r="14" spans="1:32" ht="14.15" customHeight="1" x14ac:dyDescent="0.35">
      <c r="A14" s="517"/>
      <c r="B14" s="73">
        <v>3017</v>
      </c>
      <c r="C14" s="43"/>
      <c r="D14" s="91" t="s">
        <v>110</v>
      </c>
      <c r="E14" s="198">
        <f>60.7*9</f>
        <v>546.30000000000007</v>
      </c>
      <c r="F14" s="93">
        <f>33.69*9</f>
        <v>303.20999999999998</v>
      </c>
      <c r="G14" s="128">
        <f>38.68*9</f>
        <v>348.12</v>
      </c>
      <c r="H14" s="260">
        <f t="shared" si="0"/>
        <v>1197.6300000000001</v>
      </c>
      <c r="I14" s="157">
        <v>0.05</v>
      </c>
      <c r="J14" s="97">
        <v>0.15</v>
      </c>
      <c r="K14" s="152" t="s">
        <v>2</v>
      </c>
      <c r="L14" s="99">
        <f t="shared" si="1"/>
        <v>27.315000000000005</v>
      </c>
      <c r="M14" s="100">
        <f t="shared" si="2"/>
        <v>45.481499999999997</v>
      </c>
      <c r="N14" s="188"/>
      <c r="O14" s="150">
        <f t="shared" si="4"/>
        <v>72.796500000000009</v>
      </c>
      <c r="P14" s="101">
        <f t="shared" si="5"/>
        <v>36.398250000000004</v>
      </c>
      <c r="Q14" s="154">
        <v>1086.48</v>
      </c>
      <c r="R14" s="103">
        <v>3762.74</v>
      </c>
      <c r="S14" s="104">
        <v>6387</v>
      </c>
      <c r="T14" s="189">
        <f t="shared" si="6"/>
        <v>11236.22</v>
      </c>
      <c r="U14" s="96">
        <v>2</v>
      </c>
      <c r="V14" s="152" t="s">
        <v>61</v>
      </c>
      <c r="W14" s="221">
        <f t="shared" si="7"/>
        <v>6.0783798001052082E-2</v>
      </c>
      <c r="X14" s="227"/>
      <c r="Y14" s="203" t="s">
        <v>2</v>
      </c>
      <c r="Z14" s="253"/>
      <c r="AA14" s="228"/>
      <c r="AB14" s="233"/>
      <c r="AC14" s="234"/>
      <c r="AD14" s="237"/>
    </row>
    <row r="15" spans="1:32" ht="14.15" customHeight="1" x14ac:dyDescent="0.35">
      <c r="A15" s="517"/>
      <c r="B15" s="73">
        <v>3018</v>
      </c>
      <c r="C15" s="43"/>
      <c r="D15" s="91" t="s">
        <v>111</v>
      </c>
      <c r="E15" s="127">
        <f>60.7</f>
        <v>60.7</v>
      </c>
      <c r="F15" s="123">
        <f>33.69</f>
        <v>33.69</v>
      </c>
      <c r="G15" s="173">
        <f>18.88+19.8</f>
        <v>38.68</v>
      </c>
      <c r="H15" s="259">
        <f t="shared" si="0"/>
        <v>133.07</v>
      </c>
      <c r="I15" s="157">
        <v>30</v>
      </c>
      <c r="J15" s="97">
        <v>150</v>
      </c>
      <c r="K15" s="152">
        <v>60</v>
      </c>
      <c r="L15" s="99">
        <f t="shared" si="1"/>
        <v>1821</v>
      </c>
      <c r="M15" s="100">
        <f t="shared" si="2"/>
        <v>5053.5</v>
      </c>
      <c r="N15" s="188">
        <f t="shared" si="3"/>
        <v>2320.8000000000002</v>
      </c>
      <c r="O15" s="150">
        <f t="shared" si="4"/>
        <v>9195.2999999999993</v>
      </c>
      <c r="P15" s="101">
        <f t="shared" si="5"/>
        <v>76.627499999999998</v>
      </c>
      <c r="Q15" s="154">
        <v>858.9</v>
      </c>
      <c r="R15" s="103">
        <v>2211.9</v>
      </c>
      <c r="S15" s="104">
        <v>4142.3999999999996</v>
      </c>
      <c r="T15" s="105">
        <f t="shared" si="6"/>
        <v>7213.2</v>
      </c>
      <c r="U15" s="80">
        <v>120</v>
      </c>
      <c r="V15" s="158" t="s">
        <v>60</v>
      </c>
      <c r="W15" s="221">
        <f t="shared" si="7"/>
        <v>69.101224919215454</v>
      </c>
      <c r="X15" s="273">
        <f t="shared" si="8"/>
        <v>34.550612459607727</v>
      </c>
      <c r="Y15" s="203">
        <v>0.5</v>
      </c>
      <c r="Z15" s="253">
        <f t="shared" si="9"/>
        <v>4597.6499999999996</v>
      </c>
      <c r="AA15" s="228">
        <f t="shared" si="10"/>
        <v>38.313749999999999</v>
      </c>
      <c r="AB15" s="233">
        <f t="shared" si="11"/>
        <v>276364.7415</v>
      </c>
      <c r="AC15" s="234">
        <f t="shared" si="12"/>
        <v>7.4246006520072252E-2</v>
      </c>
      <c r="AD15" s="237"/>
      <c r="AE15" s="357">
        <v>27</v>
      </c>
      <c r="AF15" s="333" t="s">
        <v>105</v>
      </c>
    </row>
    <row r="16" spans="1:32" ht="14.15" customHeight="1" x14ac:dyDescent="0.35">
      <c r="A16" s="517"/>
      <c r="B16" s="74">
        <v>3019</v>
      </c>
      <c r="C16" s="44"/>
      <c r="D16" s="106" t="s">
        <v>112</v>
      </c>
      <c r="E16" s="359">
        <f>60.7</f>
        <v>60.7</v>
      </c>
      <c r="F16" s="133">
        <f>33.69</f>
        <v>33.69</v>
      </c>
      <c r="G16" s="134">
        <f>18.88+19.8</f>
        <v>38.68</v>
      </c>
      <c r="H16" s="261">
        <f t="shared" si="0"/>
        <v>133.07</v>
      </c>
      <c r="I16" s="160">
        <v>30</v>
      </c>
      <c r="J16" s="136">
        <v>90</v>
      </c>
      <c r="K16" s="161">
        <v>180</v>
      </c>
      <c r="L16" s="83">
        <f t="shared" si="1"/>
        <v>1821</v>
      </c>
      <c r="M16" s="197">
        <f t="shared" ref="M16:M45" si="13">F16*J16</f>
        <v>3032.1</v>
      </c>
      <c r="N16" s="199">
        <f t="shared" si="3"/>
        <v>6962.4</v>
      </c>
      <c r="O16" s="177">
        <f t="shared" si="4"/>
        <v>11815.5</v>
      </c>
      <c r="P16" s="85">
        <f t="shared" si="5"/>
        <v>203.7155172413793</v>
      </c>
      <c r="Q16" s="162">
        <v>1042.42</v>
      </c>
      <c r="R16" s="108">
        <v>3352.46</v>
      </c>
      <c r="S16" s="109">
        <v>3626.16</v>
      </c>
      <c r="T16" s="110">
        <f t="shared" si="6"/>
        <v>8021.04</v>
      </c>
      <c r="U16" s="135">
        <v>58</v>
      </c>
      <c r="V16" s="161" t="s">
        <v>60</v>
      </c>
      <c r="W16" s="225">
        <f t="shared" si="7"/>
        <v>88.791613436537162</v>
      </c>
      <c r="X16" s="232">
        <f t="shared" si="8"/>
        <v>26.637484030961147</v>
      </c>
      <c r="Y16" s="204">
        <v>0.3</v>
      </c>
      <c r="Z16" s="254">
        <f t="shared" si="9"/>
        <v>3544.65</v>
      </c>
      <c r="AA16" s="229">
        <f t="shared" si="10"/>
        <v>61.114655172413798</v>
      </c>
      <c r="AB16" s="243">
        <f t="shared" si="11"/>
        <v>490203.09372413799</v>
      </c>
      <c r="AC16" s="242">
        <f t="shared" si="12"/>
        <v>0.1316941585792048</v>
      </c>
      <c r="AD16" s="239"/>
      <c r="AE16" s="357">
        <v>10</v>
      </c>
      <c r="AF16" s="333" t="s">
        <v>102</v>
      </c>
    </row>
    <row r="17" spans="1:32" ht="14.15" customHeight="1" x14ac:dyDescent="0.35">
      <c r="A17" s="525" t="s">
        <v>22</v>
      </c>
      <c r="B17" s="75">
        <v>1021</v>
      </c>
      <c r="C17" s="45"/>
      <c r="D17" s="76" t="s">
        <v>113</v>
      </c>
      <c r="E17" s="77">
        <f>2</f>
        <v>2</v>
      </c>
      <c r="F17" s="78">
        <f>18.23</f>
        <v>18.23</v>
      </c>
      <c r="G17" s="79">
        <f>2.5+7.7</f>
        <v>10.199999999999999</v>
      </c>
      <c r="H17" s="259">
        <f t="shared" si="0"/>
        <v>30.43</v>
      </c>
      <c r="I17" s="80">
        <v>10</v>
      </c>
      <c r="J17" s="81">
        <v>10</v>
      </c>
      <c r="K17" s="82">
        <v>10</v>
      </c>
      <c r="L17" s="118">
        <f t="shared" si="1"/>
        <v>20</v>
      </c>
      <c r="M17" s="119">
        <f t="shared" si="13"/>
        <v>182.3</v>
      </c>
      <c r="N17" s="196">
        <f t="shared" si="3"/>
        <v>102</v>
      </c>
      <c r="O17" s="84">
        <f t="shared" si="4"/>
        <v>304.3</v>
      </c>
      <c r="P17" s="120">
        <f t="shared" si="5"/>
        <v>20.286666666666669</v>
      </c>
      <c r="Q17" s="86">
        <v>719.42</v>
      </c>
      <c r="R17" s="87">
        <v>1810.17</v>
      </c>
      <c r="S17" s="88">
        <v>977</v>
      </c>
      <c r="T17" s="121">
        <f t="shared" si="6"/>
        <v>3506.59</v>
      </c>
      <c r="U17" s="115">
        <v>15</v>
      </c>
      <c r="V17" s="139" t="s">
        <v>3</v>
      </c>
      <c r="W17" s="224">
        <f t="shared" si="7"/>
        <v>10</v>
      </c>
      <c r="X17" s="277">
        <f t="shared" si="8"/>
        <v>7.5</v>
      </c>
      <c r="Y17" s="205">
        <v>0.75</v>
      </c>
      <c r="Z17" s="266">
        <f t="shared" si="9"/>
        <v>228.22500000000002</v>
      </c>
      <c r="AA17" s="230">
        <f t="shared" si="10"/>
        <v>15.215000000000002</v>
      </c>
      <c r="AB17" s="244">
        <f t="shared" si="11"/>
        <v>53352.766850000007</v>
      </c>
      <c r="AC17" s="245">
        <f t="shared" si="12"/>
        <v>1.4333340258634242E-2</v>
      </c>
      <c r="AD17" s="236"/>
      <c r="AE17" s="357">
        <v>25</v>
      </c>
      <c r="AF17" s="333" t="s">
        <v>105</v>
      </c>
    </row>
    <row r="18" spans="1:32" ht="14.15" customHeight="1" x14ac:dyDescent="0.35">
      <c r="A18" s="517"/>
      <c r="B18" s="73">
        <v>3022</v>
      </c>
      <c r="C18" s="43"/>
      <c r="D18" s="91" t="s">
        <v>114</v>
      </c>
      <c r="E18" s="77">
        <f>2</f>
        <v>2</v>
      </c>
      <c r="F18" s="78">
        <f>18.23</f>
        <v>18.23</v>
      </c>
      <c r="G18" s="79">
        <f>2.5+7.7</f>
        <v>10.199999999999999</v>
      </c>
      <c r="H18" s="259">
        <f t="shared" si="0"/>
        <v>30.43</v>
      </c>
      <c r="I18" s="96">
        <v>2</v>
      </c>
      <c r="J18" s="97">
        <v>2</v>
      </c>
      <c r="K18" s="152">
        <v>2</v>
      </c>
      <c r="L18" s="278">
        <f t="shared" si="1"/>
        <v>4</v>
      </c>
      <c r="M18" s="100">
        <f t="shared" si="13"/>
        <v>36.46</v>
      </c>
      <c r="N18" s="188">
        <f t="shared" si="3"/>
        <v>20.399999999999999</v>
      </c>
      <c r="O18" s="150">
        <f t="shared" si="4"/>
        <v>60.86</v>
      </c>
      <c r="P18" s="270">
        <f t="shared" si="5"/>
        <v>30.43</v>
      </c>
      <c r="Q18" s="154">
        <v>763.48</v>
      </c>
      <c r="R18" s="103">
        <v>2342.88</v>
      </c>
      <c r="S18" s="104">
        <v>60</v>
      </c>
      <c r="T18" s="187">
        <f t="shared" si="6"/>
        <v>3166.36</v>
      </c>
      <c r="U18" s="96">
        <v>2</v>
      </c>
      <c r="V18" s="152" t="s">
        <v>63</v>
      </c>
      <c r="W18" s="221">
        <f t="shared" si="7"/>
        <v>2</v>
      </c>
      <c r="X18" s="227">
        <f t="shared" si="8"/>
        <v>1.5</v>
      </c>
      <c r="Y18" s="203">
        <v>0.75</v>
      </c>
      <c r="Z18" s="253">
        <f t="shared" si="9"/>
        <v>45.644999999999996</v>
      </c>
      <c r="AA18" s="228">
        <f t="shared" si="10"/>
        <v>22.822499999999998</v>
      </c>
      <c r="AB18" s="233">
        <f t="shared" si="11"/>
        <v>72264.251099999994</v>
      </c>
      <c r="AC18" s="234">
        <f t="shared" si="12"/>
        <v>1.941395284079224E-2</v>
      </c>
      <c r="AD18" s="235">
        <f>SUM(AB17:AB20)</f>
        <v>305473.86629899999</v>
      </c>
      <c r="AE18" s="357">
        <v>25</v>
      </c>
      <c r="AF18" s="333" t="s">
        <v>105</v>
      </c>
    </row>
    <row r="19" spans="1:32" ht="14.15" customHeight="1" x14ac:dyDescent="0.35">
      <c r="A19" s="517"/>
      <c r="B19" s="73">
        <v>3023</v>
      </c>
      <c r="C19" s="43"/>
      <c r="D19" s="91" t="s">
        <v>115</v>
      </c>
      <c r="E19" s="92">
        <f>2*9</f>
        <v>18</v>
      </c>
      <c r="F19" s="93">
        <f>18.23*9</f>
        <v>164.07</v>
      </c>
      <c r="G19" s="94">
        <f>10.2*9</f>
        <v>91.8</v>
      </c>
      <c r="H19" s="260">
        <f t="shared" si="0"/>
        <v>273.87</v>
      </c>
      <c r="I19" s="96" t="s">
        <v>2</v>
      </c>
      <c r="J19" s="97">
        <v>0.25</v>
      </c>
      <c r="K19" s="98">
        <v>1</v>
      </c>
      <c r="L19" s="99"/>
      <c r="M19" s="100">
        <f t="shared" si="13"/>
        <v>41.017499999999998</v>
      </c>
      <c r="N19" s="188">
        <f t="shared" si="3"/>
        <v>91.8</v>
      </c>
      <c r="O19" s="150">
        <f t="shared" si="4"/>
        <v>132.8175</v>
      </c>
      <c r="P19" s="101">
        <f t="shared" si="5"/>
        <v>66.408749999999998</v>
      </c>
      <c r="Q19" s="154">
        <v>1543.45</v>
      </c>
      <c r="R19" s="103">
        <v>7988.92</v>
      </c>
      <c r="S19" s="104">
        <v>10420</v>
      </c>
      <c r="T19" s="187">
        <f t="shared" si="6"/>
        <v>19952.370000000003</v>
      </c>
      <c r="U19" s="96">
        <v>2</v>
      </c>
      <c r="V19" s="152" t="s">
        <v>61</v>
      </c>
      <c r="W19" s="221">
        <f t="shared" si="7"/>
        <v>0.48496549457771931</v>
      </c>
      <c r="X19" s="227">
        <f t="shared" si="8"/>
        <v>3.8797239566217549E-2</v>
      </c>
      <c r="Y19" s="203">
        <v>0.08</v>
      </c>
      <c r="Z19" s="253">
        <f t="shared" si="9"/>
        <v>10.625399999999999</v>
      </c>
      <c r="AA19" s="228">
        <f t="shared" si="10"/>
        <v>5.3126999999999995</v>
      </c>
      <c r="AB19" s="233">
        <f t="shared" si="11"/>
        <v>106000.956099</v>
      </c>
      <c r="AC19" s="234">
        <f t="shared" si="12"/>
        <v>2.8477394167375172E-2</v>
      </c>
      <c r="AD19" s="238">
        <f>SUM(AC17:AC20)</f>
        <v>8.2066238065854114E-2</v>
      </c>
      <c r="AE19" s="357">
        <v>5</v>
      </c>
      <c r="AF19" s="333" t="s">
        <v>102</v>
      </c>
    </row>
    <row r="20" spans="1:32" ht="14.15" customHeight="1" x14ac:dyDescent="0.35">
      <c r="A20" s="526"/>
      <c r="B20" s="74">
        <v>3024</v>
      </c>
      <c r="C20" s="44"/>
      <c r="D20" s="106" t="s">
        <v>116</v>
      </c>
      <c r="E20" s="132">
        <f>2</f>
        <v>2</v>
      </c>
      <c r="F20" s="123">
        <f>18.23</f>
        <v>18.23</v>
      </c>
      <c r="G20" s="124">
        <f>2.5+7.7</f>
        <v>10.199999999999999</v>
      </c>
      <c r="H20" s="261">
        <f t="shared" si="0"/>
        <v>30.43</v>
      </c>
      <c r="I20" s="163">
        <v>2</v>
      </c>
      <c r="J20" s="164">
        <v>2</v>
      </c>
      <c r="K20" s="165">
        <v>2</v>
      </c>
      <c r="L20" s="83">
        <f t="shared" si="1"/>
        <v>4</v>
      </c>
      <c r="M20" s="197">
        <f t="shared" si="13"/>
        <v>36.46</v>
      </c>
      <c r="N20" s="199">
        <f t="shared" si="3"/>
        <v>20.399999999999999</v>
      </c>
      <c r="O20" s="177">
        <f t="shared" si="4"/>
        <v>60.86</v>
      </c>
      <c r="P20" s="85">
        <f t="shared" si="5"/>
        <v>30.43</v>
      </c>
      <c r="Q20" s="107">
        <v>833.22</v>
      </c>
      <c r="R20" s="108">
        <v>2342.88</v>
      </c>
      <c r="S20" s="109">
        <v>60</v>
      </c>
      <c r="T20" s="110">
        <f t="shared" si="6"/>
        <v>3236.1000000000004</v>
      </c>
      <c r="U20" s="163">
        <v>2</v>
      </c>
      <c r="V20" s="169" t="s">
        <v>63</v>
      </c>
      <c r="W20" s="222">
        <f t="shared" si="7"/>
        <v>2</v>
      </c>
      <c r="X20" s="232">
        <f t="shared" si="8"/>
        <v>1.5</v>
      </c>
      <c r="Y20" s="204">
        <v>0.75</v>
      </c>
      <c r="Z20" s="254">
        <f t="shared" si="9"/>
        <v>45.644999999999996</v>
      </c>
      <c r="AA20" s="229">
        <f t="shared" si="10"/>
        <v>22.822499999999998</v>
      </c>
      <c r="AB20" s="241">
        <f t="shared" si="11"/>
        <v>73855.892250000004</v>
      </c>
      <c r="AC20" s="242">
        <f t="shared" si="12"/>
        <v>1.9841550799052469E-2</v>
      </c>
      <c r="AD20" s="239"/>
      <c r="AE20" s="357">
        <v>25</v>
      </c>
      <c r="AF20" s="333" t="s">
        <v>105</v>
      </c>
    </row>
    <row r="21" spans="1:32" ht="14.15" customHeight="1" x14ac:dyDescent="0.35">
      <c r="A21" s="514" t="s">
        <v>28</v>
      </c>
      <c r="B21" s="140">
        <v>1041</v>
      </c>
      <c r="C21" s="42"/>
      <c r="D21" s="141" t="s">
        <v>117</v>
      </c>
      <c r="E21" s="360">
        <f>6.95+2.8+6.45+5.34</f>
        <v>21.54</v>
      </c>
      <c r="F21" s="181">
        <f>50.1+6.1+52+5.7</f>
        <v>113.9</v>
      </c>
      <c r="G21" s="182">
        <f>7+0.2+8.2+0.2</f>
        <v>15.599999999999998</v>
      </c>
      <c r="H21" s="259">
        <f t="shared" si="0"/>
        <v>151.04</v>
      </c>
      <c r="I21" s="96">
        <v>4</v>
      </c>
      <c r="J21" s="97">
        <v>4</v>
      </c>
      <c r="K21" s="98">
        <v>4</v>
      </c>
      <c r="L21" s="183">
        <f t="shared" si="1"/>
        <v>86.16</v>
      </c>
      <c r="M21" s="184">
        <f t="shared" si="13"/>
        <v>455.6</v>
      </c>
      <c r="N21" s="194">
        <f t="shared" si="3"/>
        <v>62.399999999999991</v>
      </c>
      <c r="O21" s="190">
        <f t="shared" si="4"/>
        <v>604.16</v>
      </c>
      <c r="P21" s="126">
        <f t="shared" si="5"/>
        <v>755.19999999999993</v>
      </c>
      <c r="Q21" s="170">
        <v>559.75</v>
      </c>
      <c r="R21" s="90">
        <v>475.2</v>
      </c>
      <c r="S21" s="88"/>
      <c r="T21" s="121">
        <f t="shared" si="6"/>
        <v>1034.95</v>
      </c>
      <c r="U21" s="144">
        <v>0.8</v>
      </c>
      <c r="V21" s="171" t="s">
        <v>63</v>
      </c>
      <c r="W21" s="226">
        <f t="shared" si="7"/>
        <v>4</v>
      </c>
      <c r="X21" s="277">
        <f t="shared" si="8"/>
        <v>0.996</v>
      </c>
      <c r="Y21" s="205">
        <v>0.249</v>
      </c>
      <c r="Z21" s="266">
        <f t="shared" si="9"/>
        <v>150.43583999999998</v>
      </c>
      <c r="AA21" s="230">
        <f t="shared" si="10"/>
        <v>188.04479999999998</v>
      </c>
      <c r="AB21" s="246">
        <f t="shared" si="11"/>
        <v>194616.96575999999</v>
      </c>
      <c r="AC21" s="245">
        <f t="shared" si="12"/>
        <v>5.2284283553347702E-2</v>
      </c>
      <c r="AD21" s="236"/>
      <c r="AE21" s="357">
        <v>20</v>
      </c>
      <c r="AF21" s="333" t="s">
        <v>105</v>
      </c>
    </row>
    <row r="22" spans="1:32" ht="14.15" customHeight="1" x14ac:dyDescent="0.35">
      <c r="A22" s="515"/>
      <c r="B22" s="73">
        <v>1042</v>
      </c>
      <c r="C22" s="43"/>
      <c r="D22" s="91" t="s">
        <v>118</v>
      </c>
      <c r="E22" s="172">
        <f>21.54*1.5</f>
        <v>32.31</v>
      </c>
      <c r="F22" s="123">
        <f>113.9*1.5</f>
        <v>170.85000000000002</v>
      </c>
      <c r="G22" s="173">
        <f>15.6*1.5</f>
        <v>23.4</v>
      </c>
      <c r="H22" s="95">
        <f t="shared" si="0"/>
        <v>226.56000000000003</v>
      </c>
      <c r="I22" s="96">
        <v>24</v>
      </c>
      <c r="J22" s="97">
        <v>24</v>
      </c>
      <c r="K22" s="130">
        <v>24</v>
      </c>
      <c r="L22" s="99">
        <f t="shared" si="1"/>
        <v>775.44</v>
      </c>
      <c r="M22" s="100">
        <f t="shared" si="13"/>
        <v>4100.4000000000005</v>
      </c>
      <c r="N22" s="188">
        <f t="shared" si="3"/>
        <v>561.59999999999991</v>
      </c>
      <c r="O22" s="150">
        <f t="shared" si="4"/>
        <v>5437.4400000000005</v>
      </c>
      <c r="P22" s="101">
        <f t="shared" si="5"/>
        <v>1208.3200000000002</v>
      </c>
      <c r="Q22" s="154">
        <v>398.25</v>
      </c>
      <c r="R22" s="103">
        <v>185.75</v>
      </c>
      <c r="S22" s="104"/>
      <c r="T22" s="105">
        <f t="shared" si="6"/>
        <v>584</v>
      </c>
      <c r="U22" s="96">
        <v>4.5</v>
      </c>
      <c r="V22" s="152" t="s">
        <v>61</v>
      </c>
      <c r="W22" s="221">
        <f t="shared" si="7"/>
        <v>24</v>
      </c>
      <c r="X22" s="274"/>
      <c r="Y22" s="203" t="s">
        <v>2</v>
      </c>
      <c r="Z22" s="253"/>
      <c r="AA22" s="228"/>
      <c r="AB22" s="233"/>
      <c r="AC22" s="234"/>
      <c r="AD22" s="237"/>
    </row>
    <row r="23" spans="1:32" ht="14.15" customHeight="1" x14ac:dyDescent="0.35">
      <c r="A23" s="515"/>
      <c r="B23" s="73">
        <v>1043</v>
      </c>
      <c r="C23" s="43"/>
      <c r="D23" s="91" t="s">
        <v>119</v>
      </c>
      <c r="E23" s="92">
        <v>0</v>
      </c>
      <c r="F23" s="93">
        <v>0</v>
      </c>
      <c r="G23" s="94">
        <v>0</v>
      </c>
      <c r="H23" s="174"/>
      <c r="I23" s="96">
        <v>4</v>
      </c>
      <c r="J23" s="97">
        <v>4</v>
      </c>
      <c r="K23" s="130">
        <v>4</v>
      </c>
      <c r="L23" s="99">
        <f t="shared" si="1"/>
        <v>0</v>
      </c>
      <c r="M23" s="100">
        <f t="shared" si="13"/>
        <v>0</v>
      </c>
      <c r="N23" s="188">
        <f t="shared" si="3"/>
        <v>0</v>
      </c>
      <c r="O23" s="150"/>
      <c r="P23" s="101"/>
      <c r="Q23" s="154">
        <v>699.23</v>
      </c>
      <c r="R23" s="103">
        <v>559.79999999999995</v>
      </c>
      <c r="S23" s="104"/>
      <c r="T23" s="89">
        <f t="shared" si="6"/>
        <v>1259.03</v>
      </c>
      <c r="U23" s="96">
        <v>0.8</v>
      </c>
      <c r="V23" s="152" t="s">
        <v>63</v>
      </c>
      <c r="W23" s="221"/>
      <c r="X23" s="274"/>
      <c r="Y23" s="203" t="s">
        <v>2</v>
      </c>
      <c r="Z23" s="253"/>
      <c r="AA23" s="228"/>
      <c r="AB23" s="233"/>
      <c r="AC23" s="234"/>
      <c r="AD23" s="235">
        <f>SUM(AB21:AB25)</f>
        <v>281270.88660999999</v>
      </c>
    </row>
    <row r="24" spans="1:32" ht="14.15" customHeight="1" x14ac:dyDescent="0.35">
      <c r="A24" s="515"/>
      <c r="B24" s="73">
        <v>4044</v>
      </c>
      <c r="C24" s="43"/>
      <c r="D24" s="91" t="s">
        <v>120</v>
      </c>
      <c r="E24" s="92">
        <f>2.23+2.23</f>
        <v>4.46</v>
      </c>
      <c r="F24" s="93">
        <f>41.63+41.63</f>
        <v>83.26</v>
      </c>
      <c r="G24" s="94">
        <v>0</v>
      </c>
      <c r="H24" s="262">
        <f t="shared" ref="H24:H32" si="14">SUM(E24:G24)</f>
        <v>87.72</v>
      </c>
      <c r="I24" s="96">
        <v>1</v>
      </c>
      <c r="J24" s="97">
        <v>1</v>
      </c>
      <c r="K24" s="130">
        <v>1</v>
      </c>
      <c r="L24" s="99">
        <f t="shared" si="1"/>
        <v>4.46</v>
      </c>
      <c r="M24" s="100">
        <f t="shared" si="13"/>
        <v>83.26</v>
      </c>
      <c r="N24" s="188">
        <f t="shared" si="3"/>
        <v>0</v>
      </c>
      <c r="O24" s="150">
        <f t="shared" si="4"/>
        <v>87.72</v>
      </c>
      <c r="P24" s="101">
        <f t="shared" si="5"/>
        <v>21.93</v>
      </c>
      <c r="Q24" s="154">
        <v>326.68</v>
      </c>
      <c r="R24" s="103">
        <v>874.39</v>
      </c>
      <c r="S24" s="104"/>
      <c r="T24" s="89">
        <f t="shared" si="6"/>
        <v>1201.07</v>
      </c>
      <c r="U24" s="96">
        <v>4</v>
      </c>
      <c r="V24" s="152" t="s">
        <v>63</v>
      </c>
      <c r="W24" s="221">
        <f t="shared" si="7"/>
        <v>1</v>
      </c>
      <c r="X24" s="274">
        <f t="shared" si="8"/>
        <v>1</v>
      </c>
      <c r="Y24" s="203">
        <v>1</v>
      </c>
      <c r="Z24" s="253">
        <f t="shared" si="9"/>
        <v>87.72</v>
      </c>
      <c r="AA24" s="228">
        <f t="shared" si="10"/>
        <v>21.93</v>
      </c>
      <c r="AB24" s="233">
        <f t="shared" si="11"/>
        <v>26339.465099999998</v>
      </c>
      <c r="AC24" s="234">
        <f t="shared" si="12"/>
        <v>7.0761562670244443E-3</v>
      </c>
      <c r="AD24" s="238">
        <f>SUM(AC21:AC25)</f>
        <v>7.556405338758658E-2</v>
      </c>
      <c r="AE24" s="357">
        <v>100</v>
      </c>
      <c r="AF24" s="333" t="s">
        <v>105</v>
      </c>
    </row>
    <row r="25" spans="1:32" ht="14.15" customHeight="1" x14ac:dyDescent="0.35">
      <c r="A25" s="515"/>
      <c r="B25" s="74">
        <v>4045</v>
      </c>
      <c r="C25" s="44"/>
      <c r="D25" s="106" t="s">
        <v>121</v>
      </c>
      <c r="E25" s="92">
        <f>6.95+6.45</f>
        <v>13.4</v>
      </c>
      <c r="F25" s="93">
        <f>50.1+52</f>
        <v>102.1</v>
      </c>
      <c r="G25" s="94">
        <f>7+8.2</f>
        <v>15.2</v>
      </c>
      <c r="H25" s="261">
        <f t="shared" si="14"/>
        <v>130.69999999999999</v>
      </c>
      <c r="I25" s="80">
        <v>1</v>
      </c>
      <c r="J25" s="81">
        <v>1</v>
      </c>
      <c r="K25" s="82">
        <v>1</v>
      </c>
      <c r="L25" s="83">
        <f t="shared" si="1"/>
        <v>13.4</v>
      </c>
      <c r="M25" s="197">
        <f t="shared" si="13"/>
        <v>102.1</v>
      </c>
      <c r="N25" s="199">
        <f t="shared" si="3"/>
        <v>15.2</v>
      </c>
      <c r="O25" s="177">
        <f t="shared" si="4"/>
        <v>130.69999999999999</v>
      </c>
      <c r="P25" s="85">
        <f t="shared" si="5"/>
        <v>130.69999999999999</v>
      </c>
      <c r="Q25" s="107">
        <v>488.18</v>
      </c>
      <c r="R25" s="108">
        <v>1357.71</v>
      </c>
      <c r="S25" s="109"/>
      <c r="T25" s="189">
        <f t="shared" si="6"/>
        <v>1845.89</v>
      </c>
      <c r="U25" s="163">
        <v>1</v>
      </c>
      <c r="V25" s="169" t="s">
        <v>63</v>
      </c>
      <c r="W25" s="222">
        <f t="shared" si="7"/>
        <v>1</v>
      </c>
      <c r="X25" s="232">
        <f t="shared" si="8"/>
        <v>0.25</v>
      </c>
      <c r="Y25" s="204">
        <v>0.25</v>
      </c>
      <c r="Z25" s="267">
        <f t="shared" si="9"/>
        <v>32.674999999999997</v>
      </c>
      <c r="AA25" s="268">
        <f t="shared" si="10"/>
        <v>32.674999999999997</v>
      </c>
      <c r="AB25" s="241">
        <f t="shared" si="11"/>
        <v>60314.455750000001</v>
      </c>
      <c r="AC25" s="242">
        <f t="shared" si="12"/>
        <v>1.6203613567214434E-2</v>
      </c>
      <c r="AD25" s="239"/>
      <c r="AE25" s="357">
        <v>20</v>
      </c>
      <c r="AF25" s="333" t="s">
        <v>102</v>
      </c>
    </row>
    <row r="26" spans="1:32" ht="14.15" customHeight="1" x14ac:dyDescent="0.35">
      <c r="A26" s="514" t="s">
        <v>34</v>
      </c>
      <c r="B26" s="75">
        <v>1031</v>
      </c>
      <c r="C26" s="45"/>
      <c r="D26" s="76" t="s">
        <v>122</v>
      </c>
      <c r="E26" s="175">
        <f>45.49+40.09</f>
        <v>85.580000000000013</v>
      </c>
      <c r="F26" s="112">
        <f>38.9+40</f>
        <v>78.900000000000006</v>
      </c>
      <c r="G26" s="142">
        <f>6.3+10.4</f>
        <v>16.7</v>
      </c>
      <c r="H26" s="143">
        <f t="shared" si="14"/>
        <v>181.18</v>
      </c>
      <c r="I26" s="115">
        <v>3</v>
      </c>
      <c r="J26" s="116">
        <v>5</v>
      </c>
      <c r="K26" s="117" t="s">
        <v>2</v>
      </c>
      <c r="L26" s="183">
        <f t="shared" si="1"/>
        <v>256.74</v>
      </c>
      <c r="M26" s="184">
        <f t="shared" si="13"/>
        <v>394.5</v>
      </c>
      <c r="N26" s="194"/>
      <c r="O26" s="190">
        <f t="shared" si="4"/>
        <v>651.24</v>
      </c>
      <c r="P26" s="126">
        <f t="shared" si="5"/>
        <v>65.123999999999995</v>
      </c>
      <c r="Q26" s="147">
        <v>557.91999999999996</v>
      </c>
      <c r="R26" s="90">
        <v>1387.63</v>
      </c>
      <c r="S26" s="148">
        <v>209.9</v>
      </c>
      <c r="T26" s="121">
        <f t="shared" si="6"/>
        <v>2155.4500000000003</v>
      </c>
      <c r="U26" s="115">
        <v>10</v>
      </c>
      <c r="V26" s="139" t="s">
        <v>3</v>
      </c>
      <c r="W26" s="226">
        <f t="shared" si="7"/>
        <v>3.594436472016779</v>
      </c>
      <c r="X26" s="273">
        <f t="shared" si="8"/>
        <v>2.5161055304117452</v>
      </c>
      <c r="Y26" s="202">
        <v>0.7</v>
      </c>
      <c r="Z26" s="257">
        <f t="shared" si="9"/>
        <v>455.86799999999999</v>
      </c>
      <c r="AA26" s="231">
        <f t="shared" si="10"/>
        <v>45.586799999999997</v>
      </c>
      <c r="AB26" s="246">
        <f t="shared" si="11"/>
        <v>98260.068060000005</v>
      </c>
      <c r="AC26" s="245">
        <f t="shared" si="12"/>
        <v>2.6397787265657779E-2</v>
      </c>
      <c r="AD26" s="236"/>
      <c r="AE26" s="357">
        <v>75</v>
      </c>
      <c r="AF26" s="333" t="s">
        <v>105</v>
      </c>
    </row>
    <row r="27" spans="1:32" ht="14.15" customHeight="1" x14ac:dyDescent="0.35">
      <c r="A27" s="515"/>
      <c r="B27" s="73">
        <v>1032</v>
      </c>
      <c r="C27" s="43"/>
      <c r="D27" s="91" t="s">
        <v>123</v>
      </c>
      <c r="E27" s="176">
        <f>(110.59-5.025)*5*0.4</f>
        <v>211.13000000000002</v>
      </c>
      <c r="F27" s="176">
        <f>(110.59-5.025)*5*0.6</f>
        <v>316.69499999999999</v>
      </c>
      <c r="G27" s="156">
        <f>19.8</f>
        <v>19.8</v>
      </c>
      <c r="H27" s="95">
        <f t="shared" si="14"/>
        <v>547.625</v>
      </c>
      <c r="I27" s="96">
        <v>12</v>
      </c>
      <c r="J27" s="97">
        <v>12</v>
      </c>
      <c r="K27" s="98">
        <v>12</v>
      </c>
      <c r="L27" s="99">
        <f t="shared" si="1"/>
        <v>2533.5600000000004</v>
      </c>
      <c r="M27" s="100">
        <f t="shared" si="13"/>
        <v>3800.34</v>
      </c>
      <c r="N27" s="188">
        <f t="shared" si="3"/>
        <v>237.60000000000002</v>
      </c>
      <c r="O27" s="150">
        <f t="shared" si="4"/>
        <v>6571.5000000000009</v>
      </c>
      <c r="P27" s="101">
        <f t="shared" si="5"/>
        <v>547.62500000000011</v>
      </c>
      <c r="Q27" s="154">
        <v>607.47</v>
      </c>
      <c r="R27" s="103">
        <v>289.86</v>
      </c>
      <c r="S27" s="104"/>
      <c r="T27" s="187">
        <f t="shared" si="6"/>
        <v>897.33</v>
      </c>
      <c r="U27" s="96">
        <v>12</v>
      </c>
      <c r="V27" s="152" t="s">
        <v>61</v>
      </c>
      <c r="W27" s="221">
        <f t="shared" si="7"/>
        <v>12.000000000000002</v>
      </c>
      <c r="X27" s="227">
        <f t="shared" si="8"/>
        <v>12.000000000000002</v>
      </c>
      <c r="Y27" s="203">
        <v>1</v>
      </c>
      <c r="Z27" s="253">
        <f t="shared" si="9"/>
        <v>6571.5000000000009</v>
      </c>
      <c r="AA27" s="228">
        <f t="shared" si="10"/>
        <v>547.62500000000011</v>
      </c>
      <c r="AB27" s="233">
        <f t="shared" si="11"/>
        <v>491400.34125000011</v>
      </c>
      <c r="AC27" s="234">
        <f t="shared" si="12"/>
        <v>0.13201580180738517</v>
      </c>
      <c r="AD27" s="235">
        <f>SUM(AB26:AB29)</f>
        <v>695394.41475075018</v>
      </c>
      <c r="AE27" s="357">
        <v>100</v>
      </c>
      <c r="AF27" s="333" t="s">
        <v>102</v>
      </c>
    </row>
    <row r="28" spans="1:32" ht="14.15" customHeight="1" x14ac:dyDescent="0.35">
      <c r="A28" s="515"/>
      <c r="B28" s="73">
        <v>4033</v>
      </c>
      <c r="C28" s="43"/>
      <c r="D28" s="91" t="s">
        <v>124</v>
      </c>
      <c r="E28" s="176">
        <f>(110.59-5.025)*5*0.4</f>
        <v>211.13000000000002</v>
      </c>
      <c r="F28" s="176">
        <f>(110.59-5.025)*5*0.6</f>
        <v>316.69499999999999</v>
      </c>
      <c r="G28" s="156">
        <f>19.8</f>
        <v>19.8</v>
      </c>
      <c r="H28" s="95">
        <f t="shared" si="14"/>
        <v>547.625</v>
      </c>
      <c r="I28" s="80" t="s">
        <v>2</v>
      </c>
      <c r="J28" s="81">
        <v>1</v>
      </c>
      <c r="K28" s="82" t="s">
        <v>2</v>
      </c>
      <c r="L28" s="99"/>
      <c r="M28" s="100">
        <f t="shared" si="13"/>
        <v>316.69499999999999</v>
      </c>
      <c r="N28" s="188"/>
      <c r="O28" s="150">
        <f t="shared" si="4"/>
        <v>316.69499999999999</v>
      </c>
      <c r="P28" s="101">
        <f t="shared" si="5"/>
        <v>105.565</v>
      </c>
      <c r="Q28" s="154">
        <v>765.31</v>
      </c>
      <c r="R28" s="103">
        <v>1652.8</v>
      </c>
      <c r="S28" s="104"/>
      <c r="T28" s="187">
        <f t="shared" si="6"/>
        <v>2418.1099999999997</v>
      </c>
      <c r="U28" s="80">
        <v>3</v>
      </c>
      <c r="V28" s="158" t="s">
        <v>61</v>
      </c>
      <c r="W28" s="221">
        <f t="shared" si="7"/>
        <v>0.57830632275736127</v>
      </c>
      <c r="X28" s="273">
        <f t="shared" si="8"/>
        <v>8.6745948413604182E-2</v>
      </c>
      <c r="Y28" s="203">
        <v>0.15</v>
      </c>
      <c r="Z28" s="253">
        <f t="shared" si="9"/>
        <v>47.504249999999999</v>
      </c>
      <c r="AA28" s="228">
        <f t="shared" si="10"/>
        <v>15.83475</v>
      </c>
      <c r="AB28" s="233">
        <f t="shared" si="11"/>
        <v>38290.16732249999</v>
      </c>
      <c r="AC28" s="234">
        <f t="shared" si="12"/>
        <v>1.0286739173929652E-2</v>
      </c>
      <c r="AD28" s="238">
        <f>SUM(AC26:AC29)</f>
        <v>0.18681926634843909</v>
      </c>
      <c r="AE28" s="357">
        <v>20</v>
      </c>
      <c r="AF28" s="333" t="s">
        <v>102</v>
      </c>
    </row>
    <row r="29" spans="1:32" ht="14.15" customHeight="1" x14ac:dyDescent="0.35">
      <c r="A29" s="515"/>
      <c r="B29" s="74">
        <v>4034</v>
      </c>
      <c r="C29" s="44"/>
      <c r="D29" s="106" t="s">
        <v>125</v>
      </c>
      <c r="E29" s="176">
        <f>(110.59-5.025)*5*0.4</f>
        <v>211.13000000000002</v>
      </c>
      <c r="F29" s="176">
        <f>(110.59-5.025)*5*0.6</f>
        <v>316.69499999999999</v>
      </c>
      <c r="G29" s="156">
        <f>19.8</f>
        <v>19.8</v>
      </c>
      <c r="H29" s="95">
        <f t="shared" si="14"/>
        <v>547.625</v>
      </c>
      <c r="I29" s="96">
        <v>0.05</v>
      </c>
      <c r="J29" s="97">
        <v>0.15</v>
      </c>
      <c r="K29" s="98">
        <v>1</v>
      </c>
      <c r="L29" s="83">
        <f t="shared" si="1"/>
        <v>10.556500000000002</v>
      </c>
      <c r="M29" s="197">
        <f t="shared" si="13"/>
        <v>47.504249999999999</v>
      </c>
      <c r="N29" s="199">
        <f t="shared" si="3"/>
        <v>19.8</v>
      </c>
      <c r="O29" s="177">
        <f t="shared" si="4"/>
        <v>77.860749999999996</v>
      </c>
      <c r="P29" s="85">
        <f t="shared" si="5"/>
        <v>51.907166666666662</v>
      </c>
      <c r="Q29" s="162">
        <v>1224.1099999999999</v>
      </c>
      <c r="R29" s="108">
        <v>4904.2</v>
      </c>
      <c r="S29" s="109">
        <v>2533.8000000000002</v>
      </c>
      <c r="T29" s="110">
        <f t="shared" si="6"/>
        <v>8662.11</v>
      </c>
      <c r="U29" s="135">
        <v>1.5</v>
      </c>
      <c r="V29" s="161" t="s">
        <v>61</v>
      </c>
      <c r="W29" s="222">
        <f t="shared" si="7"/>
        <v>0.14217895457658067</v>
      </c>
      <c r="X29" s="232">
        <f t="shared" si="8"/>
        <v>2.1326843186487098E-2</v>
      </c>
      <c r="Y29" s="204">
        <v>0.15</v>
      </c>
      <c r="Z29" s="267">
        <f t="shared" si="9"/>
        <v>11.679112499999999</v>
      </c>
      <c r="AA29" s="268">
        <f t="shared" si="10"/>
        <v>7.7860749999999994</v>
      </c>
      <c r="AB29" s="269">
        <f t="shared" si="11"/>
        <v>67443.838118250002</v>
      </c>
      <c r="AC29" s="248">
        <f t="shared" si="12"/>
        <v>1.8118938101466489E-2</v>
      </c>
      <c r="AD29" s="239"/>
      <c r="AE29" s="357">
        <v>20</v>
      </c>
      <c r="AF29" s="333" t="s">
        <v>105</v>
      </c>
    </row>
    <row r="30" spans="1:32" ht="14.15" customHeight="1" x14ac:dyDescent="0.35">
      <c r="A30" s="514" t="s">
        <v>39</v>
      </c>
      <c r="B30" s="140">
        <v>1051</v>
      </c>
      <c r="C30" s="42"/>
      <c r="D30" s="76" t="s">
        <v>126</v>
      </c>
      <c r="E30" s="111">
        <f>31+10+6</f>
        <v>47</v>
      </c>
      <c r="F30" s="112">
        <f>127+14+24</f>
        <v>165</v>
      </c>
      <c r="G30" s="113">
        <f>2+48</f>
        <v>50</v>
      </c>
      <c r="H30" s="114">
        <f t="shared" si="14"/>
        <v>262</v>
      </c>
      <c r="I30" s="115">
        <v>2</v>
      </c>
      <c r="J30" s="116">
        <v>2</v>
      </c>
      <c r="K30" s="117">
        <v>2</v>
      </c>
      <c r="L30" s="183">
        <f t="shared" si="1"/>
        <v>94</v>
      </c>
      <c r="M30" s="184">
        <f t="shared" si="13"/>
        <v>330</v>
      </c>
      <c r="N30" s="194">
        <f t="shared" si="3"/>
        <v>100</v>
      </c>
      <c r="O30" s="190">
        <f t="shared" si="4"/>
        <v>524</v>
      </c>
      <c r="P30" s="126">
        <f t="shared" si="5"/>
        <v>104.8</v>
      </c>
      <c r="Q30" s="151">
        <v>559.75</v>
      </c>
      <c r="R30" s="87">
        <v>506.13</v>
      </c>
      <c r="S30" s="88"/>
      <c r="T30" s="121">
        <f t="shared" si="6"/>
        <v>1065.8800000000001</v>
      </c>
      <c r="U30" s="115">
        <v>5</v>
      </c>
      <c r="V30" s="139" t="s">
        <v>64</v>
      </c>
      <c r="W30" s="226">
        <f t="shared" si="7"/>
        <v>2</v>
      </c>
      <c r="X30" s="273">
        <f t="shared" si="8"/>
        <v>2</v>
      </c>
      <c r="Y30" s="205">
        <v>1</v>
      </c>
      <c r="Z30" s="257">
        <f>Y30*O30</f>
        <v>524</v>
      </c>
      <c r="AA30" s="231">
        <f t="shared" si="10"/>
        <v>104.8</v>
      </c>
      <c r="AB30" s="246">
        <f t="shared" si="11"/>
        <v>111704.224</v>
      </c>
      <c r="AC30" s="247">
        <f t="shared" si="12"/>
        <v>3.0009589857263364E-2</v>
      </c>
      <c r="AD30" s="235">
        <f>SUM(AB30:AB31)</f>
        <v>135885.383</v>
      </c>
      <c r="AE30" s="357">
        <v>100</v>
      </c>
      <c r="AF30" s="333" t="s">
        <v>105</v>
      </c>
    </row>
    <row r="31" spans="1:32" ht="14.15" customHeight="1" x14ac:dyDescent="0.35">
      <c r="A31" s="515"/>
      <c r="B31" s="74">
        <v>6052</v>
      </c>
      <c r="C31" s="44"/>
      <c r="D31" s="106" t="s">
        <v>127</v>
      </c>
      <c r="E31" s="127">
        <f>31+10+6</f>
        <v>47</v>
      </c>
      <c r="F31" s="93">
        <f>127+14+24</f>
        <v>165</v>
      </c>
      <c r="G31" s="128">
        <f>2+48</f>
        <v>50</v>
      </c>
      <c r="H31" s="178">
        <f t="shared" si="14"/>
        <v>262</v>
      </c>
      <c r="I31" s="96">
        <v>0.1</v>
      </c>
      <c r="J31" s="97">
        <v>0.1</v>
      </c>
      <c r="K31" s="98">
        <v>0.1</v>
      </c>
      <c r="L31" s="83">
        <f t="shared" si="1"/>
        <v>4.7</v>
      </c>
      <c r="M31" s="197">
        <f t="shared" si="13"/>
        <v>16.5</v>
      </c>
      <c r="N31" s="199">
        <f t="shared" si="3"/>
        <v>5</v>
      </c>
      <c r="O31" s="177">
        <f t="shared" si="4"/>
        <v>26.2</v>
      </c>
      <c r="P31" s="85">
        <f t="shared" si="5"/>
        <v>13.1</v>
      </c>
      <c r="Q31" s="162">
        <v>488.18</v>
      </c>
      <c r="R31" s="108">
        <v>1357.71</v>
      </c>
      <c r="S31" s="109"/>
      <c r="T31" s="110">
        <f t="shared" si="6"/>
        <v>1845.89</v>
      </c>
      <c r="U31" s="135">
        <v>2</v>
      </c>
      <c r="V31" s="161" t="s">
        <v>64</v>
      </c>
      <c r="W31" s="222">
        <f t="shared" si="7"/>
        <v>9.9999999999999992E-2</v>
      </c>
      <c r="X31" s="232">
        <f t="shared" si="8"/>
        <v>9.9999999999999992E-2</v>
      </c>
      <c r="Y31" s="204">
        <v>1</v>
      </c>
      <c r="Z31" s="267">
        <f t="shared" si="9"/>
        <v>26.2</v>
      </c>
      <c r="AA31" s="268">
        <f t="shared" si="10"/>
        <v>13.1</v>
      </c>
      <c r="AB31" s="269">
        <f t="shared" si="11"/>
        <v>24181.159</v>
      </c>
      <c r="AC31" s="248">
        <f t="shared" si="12"/>
        <v>6.4963225013162686E-3</v>
      </c>
      <c r="AD31" s="238">
        <f>SUM(AC30:AC31)</f>
        <v>3.6505912358579633E-2</v>
      </c>
      <c r="AE31" s="357">
        <v>100</v>
      </c>
      <c r="AF31" s="333" t="s">
        <v>105</v>
      </c>
    </row>
    <row r="32" spans="1:32" ht="14.15" customHeight="1" x14ac:dyDescent="0.35">
      <c r="A32" s="514" t="s">
        <v>42</v>
      </c>
      <c r="B32" s="140">
        <v>1061</v>
      </c>
      <c r="C32" s="42"/>
      <c r="D32" s="141" t="s">
        <v>128</v>
      </c>
      <c r="E32" s="111">
        <v>15</v>
      </c>
      <c r="F32" s="112">
        <v>0</v>
      </c>
      <c r="G32" s="113">
        <f>2</f>
        <v>2</v>
      </c>
      <c r="H32" s="114">
        <f t="shared" si="14"/>
        <v>17</v>
      </c>
      <c r="I32" s="115">
        <v>2</v>
      </c>
      <c r="J32" s="116">
        <v>2</v>
      </c>
      <c r="K32" s="117">
        <v>2</v>
      </c>
      <c r="L32" s="183">
        <f t="shared" si="1"/>
        <v>30</v>
      </c>
      <c r="M32" s="184">
        <f t="shared" si="13"/>
        <v>0</v>
      </c>
      <c r="N32" s="194">
        <f t="shared" si="3"/>
        <v>4</v>
      </c>
      <c r="O32" s="190">
        <f t="shared" si="4"/>
        <v>34</v>
      </c>
      <c r="P32" s="126">
        <f t="shared" si="5"/>
        <v>11.333333333333334</v>
      </c>
      <c r="Q32" s="151">
        <v>559.75</v>
      </c>
      <c r="R32" s="87">
        <v>491.66</v>
      </c>
      <c r="S32" s="88">
        <v>216.48</v>
      </c>
      <c r="T32" s="149">
        <f t="shared" si="6"/>
        <v>1267.8900000000001</v>
      </c>
      <c r="U32" s="115">
        <v>3</v>
      </c>
      <c r="V32" s="139" t="s">
        <v>64</v>
      </c>
      <c r="W32" s="226">
        <f t="shared" si="7"/>
        <v>2</v>
      </c>
      <c r="X32" s="230">
        <f t="shared" si="8"/>
        <v>2</v>
      </c>
      <c r="Y32" s="205">
        <v>1</v>
      </c>
      <c r="Z32" s="257">
        <f t="shared" si="9"/>
        <v>34</v>
      </c>
      <c r="AA32" s="231">
        <f t="shared" si="10"/>
        <v>11.333333333333334</v>
      </c>
      <c r="AB32" s="246">
        <f t="shared" si="11"/>
        <v>14369.420000000002</v>
      </c>
      <c r="AC32" s="247">
        <f t="shared" si="12"/>
        <v>3.8603768527746755E-3</v>
      </c>
      <c r="AD32" s="236"/>
      <c r="AE32" s="357">
        <v>100</v>
      </c>
      <c r="AF32" s="333" t="s">
        <v>105</v>
      </c>
    </row>
    <row r="33" spans="1:32" ht="14.15" customHeight="1" x14ac:dyDescent="0.35">
      <c r="A33" s="515"/>
      <c r="B33" s="73">
        <v>6062</v>
      </c>
      <c r="C33" s="43"/>
      <c r="D33" s="91" t="s">
        <v>129</v>
      </c>
      <c r="E33" s="127">
        <v>0</v>
      </c>
      <c r="F33" s="93">
        <v>0</v>
      </c>
      <c r="G33" s="128">
        <v>0</v>
      </c>
      <c r="H33" s="178"/>
      <c r="I33" s="96">
        <v>0.2</v>
      </c>
      <c r="J33" s="97">
        <v>0.5</v>
      </c>
      <c r="K33" s="98">
        <v>1</v>
      </c>
      <c r="L33" s="99">
        <f t="shared" si="1"/>
        <v>0</v>
      </c>
      <c r="M33" s="100">
        <f t="shared" si="13"/>
        <v>0</v>
      </c>
      <c r="N33" s="188">
        <f t="shared" si="3"/>
        <v>0</v>
      </c>
      <c r="O33" s="150"/>
      <c r="P33" s="101"/>
      <c r="Q33" s="154">
        <v>570.73</v>
      </c>
      <c r="R33" s="103">
        <v>638.65</v>
      </c>
      <c r="S33" s="104">
        <v>3463.4</v>
      </c>
      <c r="T33" s="89">
        <f t="shared" si="6"/>
        <v>4672.7800000000007</v>
      </c>
      <c r="U33" s="96">
        <v>2</v>
      </c>
      <c r="V33" s="152" t="s">
        <v>64</v>
      </c>
      <c r="W33" s="221"/>
      <c r="X33" s="227"/>
      <c r="Y33" s="203" t="s">
        <v>2</v>
      </c>
      <c r="Z33" s="253"/>
      <c r="AA33" s="228"/>
      <c r="AB33" s="233"/>
      <c r="AC33" s="234"/>
      <c r="AD33" s="235">
        <f>SUM(AB32:AB34)</f>
        <v>17298.5</v>
      </c>
      <c r="AE33" s="357">
        <v>0</v>
      </c>
      <c r="AF33" s="333" t="s">
        <v>102</v>
      </c>
    </row>
    <row r="34" spans="1:32" ht="14.15" customHeight="1" x14ac:dyDescent="0.35">
      <c r="A34" s="516"/>
      <c r="B34" s="74">
        <v>6063</v>
      </c>
      <c r="C34" s="44"/>
      <c r="D34" s="106" t="s">
        <v>130</v>
      </c>
      <c r="E34" s="122">
        <v>15</v>
      </c>
      <c r="F34" s="123">
        <v>0</v>
      </c>
      <c r="G34" s="124">
        <v>2</v>
      </c>
      <c r="H34" s="125">
        <f t="shared" ref="H34:H39" si="15">SUM(E34:G34)</f>
        <v>17</v>
      </c>
      <c r="I34" s="80">
        <v>0.1</v>
      </c>
      <c r="J34" s="81">
        <v>0.1</v>
      </c>
      <c r="K34" s="82">
        <v>0.1</v>
      </c>
      <c r="L34" s="83">
        <f t="shared" si="1"/>
        <v>1.5</v>
      </c>
      <c r="M34" s="197">
        <f t="shared" si="13"/>
        <v>0</v>
      </c>
      <c r="N34" s="199">
        <f t="shared" si="3"/>
        <v>0.2</v>
      </c>
      <c r="O34" s="177">
        <f t="shared" si="4"/>
        <v>1.7</v>
      </c>
      <c r="P34" s="85">
        <f t="shared" si="5"/>
        <v>1.1333333333333333</v>
      </c>
      <c r="Q34" s="162">
        <v>627.66</v>
      </c>
      <c r="R34" s="108">
        <v>1569.15</v>
      </c>
      <c r="S34" s="109"/>
      <c r="T34" s="189">
        <f t="shared" si="6"/>
        <v>2196.81</v>
      </c>
      <c r="U34" s="163">
        <v>1.5</v>
      </c>
      <c r="V34" s="169" t="s">
        <v>64</v>
      </c>
      <c r="W34" s="222">
        <f t="shared" si="7"/>
        <v>9.9999999999999992E-2</v>
      </c>
      <c r="X34" s="275">
        <f t="shared" si="8"/>
        <v>9.9999999999999992E-2</v>
      </c>
      <c r="Y34" s="204">
        <v>1</v>
      </c>
      <c r="Z34" s="267">
        <f>(Y34*O34)+0.3</f>
        <v>2</v>
      </c>
      <c r="AA34" s="268">
        <f t="shared" si="10"/>
        <v>1.3333333333333333</v>
      </c>
      <c r="AB34" s="269">
        <f t="shared" si="11"/>
        <v>2929.08</v>
      </c>
      <c r="AC34" s="248">
        <f t="shared" si="12"/>
        <v>7.8690389952588524E-4</v>
      </c>
      <c r="AD34" s="238">
        <f>SUM(AC32:AC34)</f>
        <v>4.6472807523005605E-3</v>
      </c>
      <c r="AE34" s="357">
        <v>100</v>
      </c>
      <c r="AF34" s="333" t="s">
        <v>105</v>
      </c>
    </row>
    <row r="35" spans="1:32" ht="14.15" customHeight="1" x14ac:dyDescent="0.35">
      <c r="A35" s="517" t="s">
        <v>46</v>
      </c>
      <c r="B35" s="75">
        <v>1071</v>
      </c>
      <c r="C35" s="45"/>
      <c r="D35" s="76" t="s">
        <v>131</v>
      </c>
      <c r="E35" s="362">
        <f>(110.59+30.43+19.8)*0.76</f>
        <v>122.22320000000002</v>
      </c>
      <c r="F35" s="181">
        <f>(110.59+30.43+19.8)*0.15</f>
        <v>24.123000000000001</v>
      </c>
      <c r="G35" s="182">
        <f>(110.59+30.43+19.8)*0.08</f>
        <v>12.865600000000002</v>
      </c>
      <c r="H35" s="192">
        <f t="shared" si="15"/>
        <v>159.21180000000001</v>
      </c>
      <c r="I35" s="144">
        <v>2</v>
      </c>
      <c r="J35" s="145">
        <v>2</v>
      </c>
      <c r="K35" s="146">
        <v>2</v>
      </c>
      <c r="L35" s="183">
        <f t="shared" si="1"/>
        <v>244.44640000000004</v>
      </c>
      <c r="M35" s="184">
        <f t="shared" si="13"/>
        <v>48.246000000000002</v>
      </c>
      <c r="N35" s="194">
        <f t="shared" si="3"/>
        <v>25.731200000000005</v>
      </c>
      <c r="O35" s="190">
        <f t="shared" si="4"/>
        <v>318.42360000000002</v>
      </c>
      <c r="P35" s="126">
        <f t="shared" si="5"/>
        <v>45.489085714285714</v>
      </c>
      <c r="Q35" s="151">
        <v>420.27</v>
      </c>
      <c r="R35" s="87">
        <v>489.16</v>
      </c>
      <c r="S35" s="88">
        <v>100.18</v>
      </c>
      <c r="T35" s="149">
        <f t="shared" si="6"/>
        <v>1009.6100000000001</v>
      </c>
      <c r="U35" s="144">
        <v>7</v>
      </c>
      <c r="V35" s="171" t="s">
        <v>63</v>
      </c>
      <c r="W35" s="226">
        <f t="shared" si="7"/>
        <v>2</v>
      </c>
      <c r="X35" s="273">
        <f t="shared" si="8"/>
        <v>2</v>
      </c>
      <c r="Y35" s="205">
        <v>1</v>
      </c>
      <c r="Z35" s="257">
        <f t="shared" si="9"/>
        <v>318.42360000000002</v>
      </c>
      <c r="AA35" s="231">
        <f t="shared" si="10"/>
        <v>45.489085714285714</v>
      </c>
      <c r="AB35" s="246">
        <f t="shared" si="11"/>
        <v>45926.235828000004</v>
      </c>
      <c r="AC35" s="247">
        <f t="shared" si="12"/>
        <v>1.2338186073305824E-2</v>
      </c>
      <c r="AD35" s="236"/>
      <c r="AE35" s="357">
        <v>100</v>
      </c>
      <c r="AF35" s="333" t="s">
        <v>105</v>
      </c>
    </row>
    <row r="36" spans="1:32" ht="14.15" customHeight="1" x14ac:dyDescent="0.35">
      <c r="A36" s="517"/>
      <c r="B36" s="73">
        <v>1072</v>
      </c>
      <c r="C36" s="43"/>
      <c r="D36" s="91" t="s">
        <v>132</v>
      </c>
      <c r="E36" s="360">
        <f>(110.59+19.8)*0.82</f>
        <v>106.91980000000001</v>
      </c>
      <c r="F36" s="93">
        <f>(110.59+19.8)*0.13</f>
        <v>16.950700000000001</v>
      </c>
      <c r="G36" s="128">
        <f>(110.59+19.8)*0.05</f>
        <v>6.5195000000000007</v>
      </c>
      <c r="H36" s="361">
        <f t="shared" si="15"/>
        <v>130.39000000000001</v>
      </c>
      <c r="I36" s="96">
        <v>30</v>
      </c>
      <c r="J36" s="97">
        <v>30</v>
      </c>
      <c r="K36" s="130">
        <v>30</v>
      </c>
      <c r="L36" s="83">
        <f t="shared" si="1"/>
        <v>3207.5940000000001</v>
      </c>
      <c r="M36" s="100">
        <f t="shared" si="13"/>
        <v>508.52100000000002</v>
      </c>
      <c r="N36" s="188">
        <f t="shared" si="3"/>
        <v>195.58500000000004</v>
      </c>
      <c r="O36" s="150">
        <f t="shared" si="4"/>
        <v>3911.7000000000003</v>
      </c>
      <c r="P36" s="101">
        <f t="shared" si="5"/>
        <v>13.039000000000001</v>
      </c>
      <c r="Q36" s="154">
        <v>398.25</v>
      </c>
      <c r="R36" s="103">
        <v>161.54</v>
      </c>
      <c r="S36" s="104">
        <v>2103.6</v>
      </c>
      <c r="T36" s="189">
        <f t="shared" si="6"/>
        <v>2663.39</v>
      </c>
      <c r="U36" s="96">
        <v>300</v>
      </c>
      <c r="V36" s="152" t="s">
        <v>60</v>
      </c>
      <c r="W36" s="221">
        <f t="shared" si="7"/>
        <v>30</v>
      </c>
      <c r="X36" s="227">
        <f t="shared" si="8"/>
        <v>6</v>
      </c>
      <c r="Y36" s="203">
        <v>0.2</v>
      </c>
      <c r="Z36" s="253">
        <f t="shared" si="9"/>
        <v>782.34000000000015</v>
      </c>
      <c r="AA36" s="228">
        <f t="shared" si="10"/>
        <v>2.6078000000000006</v>
      </c>
      <c r="AB36" s="233">
        <f t="shared" si="11"/>
        <v>6945.5884420000011</v>
      </c>
      <c r="AC36" s="234">
        <f t="shared" si="12"/>
        <v>1.8659478844933284E-3</v>
      </c>
      <c r="AD36" s="237"/>
      <c r="AE36" s="357">
        <v>30</v>
      </c>
      <c r="AF36" s="333" t="s">
        <v>105</v>
      </c>
    </row>
    <row r="37" spans="1:32" ht="14.15" customHeight="1" x14ac:dyDescent="0.35">
      <c r="A37" s="517"/>
      <c r="B37" s="73">
        <v>1073</v>
      </c>
      <c r="C37" s="43"/>
      <c r="D37" s="91" t="s">
        <v>133</v>
      </c>
      <c r="E37" s="127">
        <v>1300</v>
      </c>
      <c r="F37" s="93">
        <v>50</v>
      </c>
      <c r="G37" s="128"/>
      <c r="H37" s="131">
        <f t="shared" si="15"/>
        <v>1350</v>
      </c>
      <c r="I37" s="96">
        <v>0.25</v>
      </c>
      <c r="J37" s="97">
        <v>0.25</v>
      </c>
      <c r="K37" s="130">
        <v>0.25</v>
      </c>
      <c r="L37" s="195">
        <f t="shared" si="1"/>
        <v>325</v>
      </c>
      <c r="M37" s="100">
        <f t="shared" si="13"/>
        <v>12.5</v>
      </c>
      <c r="N37" s="188">
        <f t="shared" si="3"/>
        <v>0</v>
      </c>
      <c r="O37" s="150">
        <f t="shared" si="4"/>
        <v>337.5</v>
      </c>
      <c r="P37" s="101">
        <f t="shared" si="5"/>
        <v>0.5625</v>
      </c>
      <c r="Q37" s="154">
        <v>629.49</v>
      </c>
      <c r="R37" s="103">
        <v>639.54</v>
      </c>
      <c r="S37" s="104">
        <v>427.45</v>
      </c>
      <c r="T37" s="187">
        <f t="shared" si="6"/>
        <v>1696.48</v>
      </c>
      <c r="U37" s="96">
        <v>600</v>
      </c>
      <c r="V37" s="152" t="s">
        <v>62</v>
      </c>
      <c r="W37" s="221">
        <f t="shared" si="7"/>
        <v>0.25</v>
      </c>
      <c r="X37" s="276">
        <f t="shared" si="8"/>
        <v>0.25</v>
      </c>
      <c r="Y37" s="203">
        <v>1</v>
      </c>
      <c r="Z37" s="253">
        <f t="shared" si="9"/>
        <v>337.5</v>
      </c>
      <c r="AA37" s="228">
        <f t="shared" si="10"/>
        <v>0.5625</v>
      </c>
      <c r="AB37" s="233">
        <f t="shared" si="11"/>
        <v>954.27</v>
      </c>
      <c r="AC37" s="234">
        <f t="shared" si="12"/>
        <v>2.5636677188761199E-4</v>
      </c>
      <c r="AD37" s="235">
        <f>SUM(AB35:AB39)</f>
        <v>120334.46036047429</v>
      </c>
      <c r="AF37" s="333" t="s">
        <v>105</v>
      </c>
    </row>
    <row r="38" spans="1:32" ht="14.15" customHeight="1" x14ac:dyDescent="0.35">
      <c r="A38" s="517"/>
      <c r="B38" s="73">
        <v>7074</v>
      </c>
      <c r="C38" s="43"/>
      <c r="D38" s="91" t="s">
        <v>134</v>
      </c>
      <c r="E38" s="360">
        <f>(110.59+19.8)*0.82</f>
        <v>106.91980000000001</v>
      </c>
      <c r="F38" s="93">
        <f>(110.59+19.8)*0.13</f>
        <v>16.950700000000001</v>
      </c>
      <c r="G38" s="128">
        <f>(110.59+19.8)*0.05</f>
        <v>6.5195000000000007</v>
      </c>
      <c r="H38" s="263">
        <f t="shared" si="15"/>
        <v>130.39000000000001</v>
      </c>
      <c r="I38" s="96">
        <v>35</v>
      </c>
      <c r="J38" s="97">
        <v>120</v>
      </c>
      <c r="K38" s="130">
        <v>245</v>
      </c>
      <c r="L38" s="99">
        <f t="shared" si="1"/>
        <v>3742.1930000000002</v>
      </c>
      <c r="M38" s="100">
        <f t="shared" si="13"/>
        <v>2034.0840000000001</v>
      </c>
      <c r="N38" s="188">
        <f t="shared" si="3"/>
        <v>1597.2775000000001</v>
      </c>
      <c r="O38" s="150">
        <f t="shared" si="4"/>
        <v>7373.5545000000002</v>
      </c>
      <c r="P38" s="101">
        <f t="shared" si="5"/>
        <v>21.067298571428573</v>
      </c>
      <c r="Q38" s="154">
        <v>559.75</v>
      </c>
      <c r="R38" s="103">
        <v>810.91</v>
      </c>
      <c r="S38" s="104">
        <v>9152.5</v>
      </c>
      <c r="T38" s="187">
        <f t="shared" si="6"/>
        <v>10523.16</v>
      </c>
      <c r="U38" s="96">
        <v>350</v>
      </c>
      <c r="V38" s="152" t="s">
        <v>60</v>
      </c>
      <c r="W38" s="221">
        <f t="shared" si="7"/>
        <v>56.55</v>
      </c>
      <c r="X38" s="276">
        <f t="shared" si="8"/>
        <v>16.965</v>
      </c>
      <c r="Y38" s="203">
        <v>0.3</v>
      </c>
      <c r="Z38" s="253">
        <f t="shared" si="9"/>
        <v>2212.0663500000001</v>
      </c>
      <c r="AA38" s="228">
        <f t="shared" si="10"/>
        <v>6.3201895714285712</v>
      </c>
      <c r="AB38" s="233">
        <f t="shared" si="11"/>
        <v>66508.366090474286</v>
      </c>
      <c r="AC38" s="234">
        <f t="shared" si="12"/>
        <v>1.78676214469012E-2</v>
      </c>
      <c r="AD38" s="238">
        <f>SUM(AC35:AC39)</f>
        <v>3.2328122176587967E-2</v>
      </c>
      <c r="AE38" s="357">
        <v>20</v>
      </c>
      <c r="AF38" s="333" t="s">
        <v>102</v>
      </c>
    </row>
    <row r="39" spans="1:32" ht="14.15" customHeight="1" x14ac:dyDescent="0.35">
      <c r="A39" s="517"/>
      <c r="B39" s="74">
        <v>7075</v>
      </c>
      <c r="C39" s="44"/>
      <c r="D39" s="106" t="s">
        <v>135</v>
      </c>
      <c r="E39" s="360">
        <f>(110.59+19.8)*0.82</f>
        <v>106.91980000000001</v>
      </c>
      <c r="F39" s="93">
        <f>(110.59+19.8)*0.13</f>
        <v>16.950700000000001</v>
      </c>
      <c r="G39" s="128">
        <f>(110.59+19.8)*0.05</f>
        <v>6.5195000000000007</v>
      </c>
      <c r="H39" s="264">
        <f t="shared" si="15"/>
        <v>130.39000000000001</v>
      </c>
      <c r="I39" s="135">
        <v>20</v>
      </c>
      <c r="J39" s="136">
        <v>55</v>
      </c>
      <c r="K39" s="137">
        <v>105</v>
      </c>
      <c r="L39" s="83">
        <f t="shared" si="1"/>
        <v>2138.3960000000002</v>
      </c>
      <c r="M39" s="197">
        <f t="shared" si="13"/>
        <v>932.28850000000011</v>
      </c>
      <c r="N39" s="199">
        <f t="shared" si="3"/>
        <v>684.54750000000013</v>
      </c>
      <c r="O39" s="177">
        <f t="shared" si="4"/>
        <v>3755.2320000000004</v>
      </c>
      <c r="P39" s="85">
        <f t="shared" si="5"/>
        <v>10.729234285714288</v>
      </c>
      <c r="Q39" s="162">
        <v>559.75</v>
      </c>
      <c r="R39" s="108">
        <v>810.91</v>
      </c>
      <c r="S39" s="109">
        <v>24500</v>
      </c>
      <c r="T39" s="110">
        <f t="shared" si="6"/>
        <v>25870.66</v>
      </c>
      <c r="U39" s="135">
        <v>350</v>
      </c>
      <c r="V39" s="161" t="s">
        <v>60</v>
      </c>
      <c r="W39" s="222">
        <f t="shared" si="7"/>
        <v>28.8</v>
      </c>
      <c r="X39" s="275"/>
      <c r="Y39" s="204" t="s">
        <v>2</v>
      </c>
      <c r="Z39" s="267"/>
      <c r="AA39" s="268"/>
      <c r="AB39" s="269"/>
      <c r="AC39" s="248"/>
      <c r="AD39" s="239"/>
    </row>
    <row r="40" spans="1:32" ht="14.15" customHeight="1" x14ac:dyDescent="0.35">
      <c r="A40" s="518" t="s">
        <v>73</v>
      </c>
      <c r="B40" s="140">
        <v>9091</v>
      </c>
      <c r="C40" s="42"/>
      <c r="D40" s="141" t="s">
        <v>136</v>
      </c>
      <c r="E40" s="180">
        <v>72.588078799481252</v>
      </c>
      <c r="F40" s="181">
        <v>147.9317242018156</v>
      </c>
      <c r="G40" s="182">
        <v>9.5575958747607004</v>
      </c>
      <c r="H40" s="185">
        <v>230.07739887605754</v>
      </c>
      <c r="I40" s="80">
        <v>20</v>
      </c>
      <c r="J40" s="81">
        <v>20</v>
      </c>
      <c r="K40" s="82">
        <v>20</v>
      </c>
      <c r="L40" s="183">
        <f t="shared" si="1"/>
        <v>1451.761575989625</v>
      </c>
      <c r="M40" s="184">
        <f t="shared" si="13"/>
        <v>2958.6344840363117</v>
      </c>
      <c r="N40" s="194">
        <f t="shared" si="3"/>
        <v>191.15191749521401</v>
      </c>
      <c r="O40" s="190">
        <f t="shared" si="4"/>
        <v>4601.5479775211506</v>
      </c>
      <c r="P40" s="126">
        <f t="shared" si="5"/>
        <v>191.73116573004793</v>
      </c>
      <c r="Q40" s="151">
        <v>258.77</v>
      </c>
      <c r="R40" s="87">
        <v>300</v>
      </c>
      <c r="S40" s="88"/>
      <c r="T40" s="149">
        <f t="shared" si="6"/>
        <v>558.77</v>
      </c>
      <c r="U40" s="115">
        <v>24</v>
      </c>
      <c r="V40" s="139" t="s">
        <v>65</v>
      </c>
      <c r="W40" s="226">
        <f t="shared" si="7"/>
        <v>20</v>
      </c>
      <c r="X40" s="273">
        <f t="shared" si="8"/>
        <v>15</v>
      </c>
      <c r="Y40" s="205">
        <v>0.75</v>
      </c>
      <c r="Z40" s="257">
        <f t="shared" si="9"/>
        <v>3451.1609831408632</v>
      </c>
      <c r="AA40" s="231">
        <f t="shared" si="10"/>
        <v>143.79837429753596</v>
      </c>
      <c r="AB40" s="246">
        <f t="shared" si="11"/>
        <v>80350.21760623416</v>
      </c>
      <c r="AC40" s="247">
        <f t="shared" si="12"/>
        <v>2.1586265845282171E-2</v>
      </c>
      <c r="AD40" s="236"/>
    </row>
    <row r="41" spans="1:32" ht="14.15" customHeight="1" x14ac:dyDescent="0.35">
      <c r="A41" s="519"/>
      <c r="B41" s="73">
        <v>9092</v>
      </c>
      <c r="C41" s="43"/>
      <c r="D41" s="91" t="s">
        <v>137</v>
      </c>
      <c r="E41" s="127">
        <v>72.588078799481252</v>
      </c>
      <c r="F41" s="93">
        <v>147.9317242018156</v>
      </c>
      <c r="G41" s="128">
        <v>9.5575958747607004</v>
      </c>
      <c r="H41" s="129">
        <v>230.07739887605754</v>
      </c>
      <c r="I41" s="96">
        <v>0.25</v>
      </c>
      <c r="J41" s="97">
        <v>0.25</v>
      </c>
      <c r="K41" s="130">
        <v>0.25</v>
      </c>
      <c r="L41" s="99">
        <f t="shared" si="1"/>
        <v>18.147019699870313</v>
      </c>
      <c r="M41" s="100">
        <f t="shared" si="13"/>
        <v>36.9829310504539</v>
      </c>
      <c r="N41" s="188">
        <f t="shared" si="3"/>
        <v>2.3893989686901751</v>
      </c>
      <c r="O41" s="150">
        <f t="shared" si="4"/>
        <v>57.519349719014386</v>
      </c>
      <c r="P41" s="101">
        <f t="shared" si="5"/>
        <v>115.03869943802877</v>
      </c>
      <c r="Q41" s="154">
        <v>420.27</v>
      </c>
      <c r="R41" s="103">
        <v>550.66</v>
      </c>
      <c r="S41" s="104"/>
      <c r="T41" s="189">
        <f t="shared" si="6"/>
        <v>970.93</v>
      </c>
      <c r="U41" s="96">
        <v>0.5</v>
      </c>
      <c r="V41" s="152" t="s">
        <v>66</v>
      </c>
      <c r="W41" s="221">
        <f t="shared" si="7"/>
        <v>0.25</v>
      </c>
      <c r="X41" s="274">
        <f t="shared" si="8"/>
        <v>0.1875</v>
      </c>
      <c r="Y41" s="203">
        <v>0.75</v>
      </c>
      <c r="Z41" s="253">
        <f t="shared" si="9"/>
        <v>43.139512289260793</v>
      </c>
      <c r="AA41" s="228">
        <f t="shared" si="10"/>
        <v>86.279024578521586</v>
      </c>
      <c r="AB41" s="233">
        <f t="shared" si="11"/>
        <v>83770.89333402396</v>
      </c>
      <c r="AC41" s="234">
        <f t="shared" si="12"/>
        <v>2.2505238037646782E-2</v>
      </c>
      <c r="AD41" s="237"/>
    </row>
    <row r="42" spans="1:32" ht="14.15" customHeight="1" x14ac:dyDescent="0.35">
      <c r="A42" s="519"/>
      <c r="B42" s="73">
        <v>9093</v>
      </c>
      <c r="C42" s="43"/>
      <c r="D42" s="91" t="s">
        <v>138</v>
      </c>
      <c r="E42" s="127">
        <v>72.588078799481252</v>
      </c>
      <c r="F42" s="93">
        <v>147.9317242018156</v>
      </c>
      <c r="G42" s="128">
        <v>9.5575958747607004</v>
      </c>
      <c r="H42" s="129">
        <v>230.07739887605754</v>
      </c>
      <c r="I42" s="96">
        <v>5</v>
      </c>
      <c r="J42" s="97">
        <v>5</v>
      </c>
      <c r="K42" s="130">
        <v>5</v>
      </c>
      <c r="L42" s="99">
        <f t="shared" si="1"/>
        <v>362.94039399740626</v>
      </c>
      <c r="M42" s="100">
        <f t="shared" si="13"/>
        <v>739.65862100907793</v>
      </c>
      <c r="N42" s="188">
        <f t="shared" si="3"/>
        <v>47.787979373803502</v>
      </c>
      <c r="O42" s="150">
        <f t="shared" si="4"/>
        <v>1150.3869943802877</v>
      </c>
      <c r="P42" s="101">
        <f t="shared" si="5"/>
        <v>17.974796787191995</v>
      </c>
      <c r="Q42" s="154">
        <v>629.49</v>
      </c>
      <c r="R42" s="103">
        <v>588.75</v>
      </c>
      <c r="S42" s="104"/>
      <c r="T42" s="105">
        <f t="shared" si="6"/>
        <v>1218.24</v>
      </c>
      <c r="U42" s="96">
        <v>64</v>
      </c>
      <c r="V42" s="152" t="s">
        <v>65</v>
      </c>
      <c r="W42" s="221">
        <f t="shared" si="7"/>
        <v>5</v>
      </c>
      <c r="X42" s="274">
        <f t="shared" si="8"/>
        <v>3.75</v>
      </c>
      <c r="Y42" s="203">
        <v>0.75</v>
      </c>
      <c r="Z42" s="253">
        <f t="shared" si="9"/>
        <v>862.7902457852158</v>
      </c>
      <c r="AA42" s="228">
        <f t="shared" si="10"/>
        <v>13.481097590393997</v>
      </c>
      <c r="AB42" s="233">
        <f t="shared" si="11"/>
        <v>16423.212328521582</v>
      </c>
      <c r="AC42" s="234">
        <f t="shared" si="12"/>
        <v>4.4121327597932544E-3</v>
      </c>
      <c r="AD42" s="235">
        <f>SUM(AB40:AB45)</f>
        <v>200943.4647810453</v>
      </c>
    </row>
    <row r="43" spans="1:32" ht="14.15" customHeight="1" x14ac:dyDescent="0.35">
      <c r="A43" s="519"/>
      <c r="B43" s="73">
        <v>9194</v>
      </c>
      <c r="C43" s="43"/>
      <c r="D43" s="91" t="s">
        <v>139</v>
      </c>
      <c r="E43" s="127">
        <v>72.588078799481252</v>
      </c>
      <c r="F43" s="93">
        <v>147.9317242018156</v>
      </c>
      <c r="G43" s="128">
        <v>9.5575958747607004</v>
      </c>
      <c r="H43" s="129">
        <v>230.07739887605754</v>
      </c>
      <c r="I43" s="96">
        <v>5</v>
      </c>
      <c r="J43" s="97">
        <v>5</v>
      </c>
      <c r="K43" s="130">
        <v>5</v>
      </c>
      <c r="L43" s="99">
        <f t="shared" si="1"/>
        <v>362.94039399740626</v>
      </c>
      <c r="M43" s="100">
        <f t="shared" si="13"/>
        <v>739.65862100907793</v>
      </c>
      <c r="N43" s="188">
        <f t="shared" si="3"/>
        <v>47.787979373803502</v>
      </c>
      <c r="O43" s="150">
        <f t="shared" si="4"/>
        <v>1150.3869943802877</v>
      </c>
      <c r="P43" s="101">
        <f t="shared" si="5"/>
        <v>12.782077715336529</v>
      </c>
      <c r="Q43" s="154">
        <v>767.14</v>
      </c>
      <c r="R43" s="103">
        <v>1360.75</v>
      </c>
      <c r="S43" s="104"/>
      <c r="T43" s="89">
        <f t="shared" si="6"/>
        <v>2127.89</v>
      </c>
      <c r="U43" s="96">
        <v>90</v>
      </c>
      <c r="V43" s="152" t="s">
        <v>65</v>
      </c>
      <c r="W43" s="221">
        <f t="shared" si="7"/>
        <v>5</v>
      </c>
      <c r="X43" s="274">
        <f t="shared" si="8"/>
        <v>3.75</v>
      </c>
      <c r="Y43" s="203">
        <v>0.75</v>
      </c>
      <c r="Z43" s="253">
        <f t="shared" si="9"/>
        <v>862.7902457852158</v>
      </c>
      <c r="AA43" s="228">
        <f t="shared" si="10"/>
        <v>9.5865582865023971</v>
      </c>
      <c r="AB43" s="233">
        <f t="shared" si="11"/>
        <v>20399.141512265585</v>
      </c>
      <c r="AC43" s="234">
        <f t="shared" si="12"/>
        <v>5.480275036182744E-3</v>
      </c>
      <c r="AD43" s="238">
        <f>SUM(AC40:AC45)</f>
        <v>5.3983911678904956E-2</v>
      </c>
    </row>
    <row r="44" spans="1:32" ht="14.15" customHeight="1" x14ac:dyDescent="0.35">
      <c r="A44" s="519"/>
      <c r="B44" s="73">
        <v>9195</v>
      </c>
      <c r="C44" s="43"/>
      <c r="D44" s="91" t="s">
        <v>140</v>
      </c>
      <c r="E44" s="127">
        <v>0</v>
      </c>
      <c r="F44" s="93">
        <v>0</v>
      </c>
      <c r="G44" s="128">
        <v>0</v>
      </c>
      <c r="H44" s="129"/>
      <c r="I44" s="96" t="s">
        <v>2</v>
      </c>
      <c r="J44" s="97" t="s">
        <v>2</v>
      </c>
      <c r="K44" s="130" t="s">
        <v>2</v>
      </c>
      <c r="L44" s="99"/>
      <c r="M44" s="100"/>
      <c r="N44" s="188"/>
      <c r="O44" s="150"/>
      <c r="P44" s="101"/>
      <c r="Q44" s="154"/>
      <c r="R44" s="103"/>
      <c r="S44" s="104"/>
      <c r="T44" s="89"/>
      <c r="U44" s="80">
        <v>0</v>
      </c>
      <c r="V44" s="158" t="s">
        <v>67</v>
      </c>
      <c r="W44" s="221"/>
      <c r="X44" s="274"/>
      <c r="Y44" s="203" t="s">
        <v>2</v>
      </c>
      <c r="Z44" s="253"/>
      <c r="AA44" s="228"/>
      <c r="AB44" s="233"/>
      <c r="AC44" s="234"/>
      <c r="AD44" s="240"/>
    </row>
    <row r="45" spans="1:32" ht="14.15" customHeight="1" x14ac:dyDescent="0.35">
      <c r="A45" s="520"/>
      <c r="B45" s="74">
        <v>9500</v>
      </c>
      <c r="C45" s="44"/>
      <c r="D45" s="106" t="s">
        <v>141</v>
      </c>
      <c r="E45" s="132">
        <v>0</v>
      </c>
      <c r="F45" s="133">
        <v>1</v>
      </c>
      <c r="G45" s="134">
        <v>0</v>
      </c>
      <c r="H45" s="186">
        <v>1</v>
      </c>
      <c r="I45" s="135" t="s">
        <v>2</v>
      </c>
      <c r="J45" s="136">
        <v>1</v>
      </c>
      <c r="K45" s="137" t="s">
        <v>2</v>
      </c>
      <c r="L45" s="166"/>
      <c r="M45" s="167">
        <f t="shared" si="13"/>
        <v>1</v>
      </c>
      <c r="N45" s="271"/>
      <c r="O45" s="168">
        <f t="shared" si="4"/>
        <v>1</v>
      </c>
      <c r="P45" s="179">
        <f t="shared" si="5"/>
        <v>1</v>
      </c>
      <c r="Q45" s="162"/>
      <c r="R45" s="108"/>
      <c r="S45" s="109"/>
      <c r="T45" s="272"/>
      <c r="U45" s="135">
        <v>1</v>
      </c>
      <c r="V45" s="161" t="s">
        <v>142</v>
      </c>
      <c r="W45" s="222">
        <f t="shared" si="7"/>
        <v>1</v>
      </c>
      <c r="X45" s="232"/>
      <c r="Y45" s="204"/>
      <c r="Z45" s="267"/>
      <c r="AA45" s="268"/>
      <c r="AB45" s="241"/>
      <c r="AC45" s="248"/>
      <c r="AD45" s="239"/>
    </row>
    <row r="46" spans="1:32" ht="14.25" customHeight="1" x14ac:dyDescent="0.35">
      <c r="A46" s="26"/>
      <c r="B46" s="27"/>
      <c r="C46" s="46"/>
      <c r="D46" s="26"/>
      <c r="E46" s="27"/>
      <c r="F46" s="27"/>
      <c r="G46" s="27"/>
      <c r="H46" s="27"/>
      <c r="I46" s="27"/>
      <c r="J46" s="27"/>
      <c r="K46" s="27"/>
      <c r="L46" s="26"/>
      <c r="M46" s="26"/>
      <c r="N46" s="26"/>
      <c r="O46" s="26"/>
      <c r="P46" s="26"/>
      <c r="T46" s="47"/>
      <c r="U46" s="47"/>
      <c r="V46" s="47"/>
      <c r="W46" s="47"/>
      <c r="X46" s="47"/>
      <c r="Y46" s="47"/>
      <c r="Z46" s="47"/>
      <c r="AA46" s="47"/>
    </row>
    <row r="47" spans="1:32" ht="14.25" customHeight="1" x14ac:dyDescent="0.35">
      <c r="A47" s="521" t="s">
        <v>143</v>
      </c>
      <c r="B47" s="522"/>
      <c r="C47" s="522"/>
      <c r="D47" s="522"/>
      <c r="E47" s="522"/>
      <c r="F47" s="522"/>
      <c r="G47" s="522"/>
      <c r="H47" s="522"/>
      <c r="I47" s="522"/>
      <c r="J47" s="522"/>
      <c r="K47" s="522"/>
      <c r="L47" s="522"/>
      <c r="M47" s="522"/>
      <c r="N47" s="522"/>
      <c r="O47" s="522"/>
      <c r="P47" s="522"/>
      <c r="Q47" s="522"/>
      <c r="R47" s="522"/>
      <c r="S47" s="522"/>
      <c r="T47" s="522"/>
      <c r="U47" s="522"/>
      <c r="V47" s="522"/>
      <c r="W47" s="522"/>
      <c r="X47" s="522"/>
      <c r="Y47" s="522"/>
      <c r="Z47" s="522"/>
      <c r="AA47" s="522"/>
      <c r="AB47" s="49">
        <f>SUM(AB8:AB45)</f>
        <v>3722284.2608414954</v>
      </c>
      <c r="AC47" s="50">
        <f>SUM(AC8:AC45)</f>
        <v>0.99999999999999956</v>
      </c>
      <c r="AD47" s="252" t="e">
        <f>AD48/AB48</f>
        <v>#REF!</v>
      </c>
    </row>
    <row r="48" spans="1:32" ht="14.25" customHeight="1" x14ac:dyDescent="0.3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 t="e">
        <f>#REF!</f>
        <v>#REF!</v>
      </c>
      <c r="AD48" s="249" t="e">
        <f>AB47-AB48</f>
        <v>#REF!</v>
      </c>
    </row>
    <row r="49" spans="1:32" ht="4.5" customHeight="1" x14ac:dyDescent="0.3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327"/>
      <c r="Q49" s="327"/>
      <c r="R49" s="328"/>
      <c r="S49" s="327"/>
      <c r="T49" s="327"/>
      <c r="U49" s="327"/>
      <c r="V49" s="328"/>
      <c r="W49" s="327"/>
      <c r="X49" s="328"/>
      <c r="Y49" s="327"/>
      <c r="Z49" s="327"/>
      <c r="AA49" s="327"/>
      <c r="AB49" s="327"/>
      <c r="AE49" s="358"/>
      <c r="AF49" s="334"/>
    </row>
    <row r="50" spans="1:32" ht="9" customHeight="1" x14ac:dyDescent="0.35">
      <c r="A50" s="570" t="s">
        <v>144</v>
      </c>
      <c r="B50" s="572" t="s">
        <v>4</v>
      </c>
      <c r="C50" s="572"/>
      <c r="D50" s="572"/>
      <c r="E50" s="572"/>
      <c r="F50" s="574" t="s">
        <v>145</v>
      </c>
      <c r="H50" s="576" t="s">
        <v>146</v>
      </c>
      <c r="I50" s="576"/>
      <c r="J50" s="576"/>
      <c r="K50" s="576"/>
      <c r="L50" s="576"/>
      <c r="M50" s="576"/>
      <c r="O50" s="304" t="s">
        <v>147</v>
      </c>
      <c r="P50" s="305"/>
      <c r="Q50" s="305"/>
      <c r="R50" s="305"/>
      <c r="S50" s="305"/>
      <c r="T50" s="305"/>
      <c r="U50" s="305"/>
      <c r="V50" s="306"/>
      <c r="W50" s="304" t="s">
        <v>148</v>
      </c>
      <c r="X50" s="305"/>
      <c r="Y50" s="305"/>
      <c r="Z50" s="305"/>
      <c r="AA50" s="306"/>
      <c r="AB50" s="304" t="s">
        <v>149</v>
      </c>
      <c r="AC50" s="305"/>
      <c r="AD50" s="306"/>
      <c r="AE50" s="358"/>
      <c r="AF50" s="334"/>
    </row>
    <row r="51" spans="1:32" x14ac:dyDescent="0.35">
      <c r="A51" s="571"/>
      <c r="B51" s="573"/>
      <c r="C51" s="573"/>
      <c r="D51" s="573"/>
      <c r="E51" s="573"/>
      <c r="F51" s="575"/>
      <c r="G51" s="53"/>
      <c r="H51" s="576"/>
      <c r="I51" s="576"/>
      <c r="J51" s="576"/>
      <c r="K51" s="576"/>
      <c r="L51" s="576"/>
      <c r="M51" s="576"/>
      <c r="O51" s="577" t="s">
        <v>150</v>
      </c>
      <c r="P51" s="578"/>
      <c r="Q51" s="578"/>
      <c r="R51" s="578"/>
      <c r="S51" s="578"/>
      <c r="T51" s="578"/>
      <c r="U51" s="578"/>
      <c r="V51" s="579"/>
      <c r="W51" s="577" t="s">
        <v>151</v>
      </c>
      <c r="X51" s="578"/>
      <c r="Y51" s="578"/>
      <c r="Z51" s="578"/>
      <c r="AA51" s="579"/>
      <c r="AB51" s="577" t="s">
        <v>152</v>
      </c>
      <c r="AC51" s="578"/>
      <c r="AD51" s="579"/>
      <c r="AE51" s="358"/>
      <c r="AF51" s="334"/>
    </row>
    <row r="52" spans="1:32" ht="24" customHeight="1" x14ac:dyDescent="0.35">
      <c r="A52" s="307"/>
      <c r="B52" s="580"/>
      <c r="C52" s="580"/>
      <c r="D52" s="580"/>
      <c r="E52" s="580"/>
      <c r="F52" s="308"/>
      <c r="G52" s="53"/>
      <c r="H52" s="581" t="s">
        <v>153</v>
      </c>
      <c r="I52" s="582"/>
      <c r="J52" s="582"/>
      <c r="K52" s="582"/>
      <c r="L52" s="583">
        <f>AB8+AB9</f>
        <v>57287.575260000005</v>
      </c>
      <c r="M52" s="584"/>
      <c r="O52" s="309" t="s">
        <v>154</v>
      </c>
      <c r="V52" s="310"/>
      <c r="W52" s="309" t="s">
        <v>154</v>
      </c>
      <c r="AA52" s="310"/>
      <c r="AB52" s="309" t="s">
        <v>154</v>
      </c>
      <c r="AD52" s="311"/>
      <c r="AE52" s="358"/>
      <c r="AF52" s="334"/>
    </row>
    <row r="53" spans="1:32" ht="24" customHeight="1" x14ac:dyDescent="0.35">
      <c r="A53" s="307"/>
      <c r="B53" s="580"/>
      <c r="C53" s="580"/>
      <c r="D53" s="580"/>
      <c r="E53" s="580"/>
      <c r="F53" s="312"/>
      <c r="G53" s="53"/>
      <c r="H53" s="585" t="s">
        <v>155</v>
      </c>
      <c r="I53" s="586"/>
      <c r="J53" s="586"/>
      <c r="K53" s="586"/>
      <c r="L53" s="587">
        <f>AB17+AB21+AB22+AB23+AB26+AB27+AB30+AB32+AB35+AB36+AB37</f>
        <v>1017529.8801900002</v>
      </c>
      <c r="M53" s="588"/>
      <c r="O53" s="313"/>
      <c r="V53" s="310"/>
      <c r="AA53" s="310"/>
      <c r="AB53" s="313"/>
      <c r="AD53" s="311"/>
      <c r="AE53" s="358"/>
      <c r="AF53" s="334"/>
    </row>
    <row r="54" spans="1:32" ht="24" customHeight="1" x14ac:dyDescent="0.35">
      <c r="A54" s="314"/>
      <c r="B54" s="589"/>
      <c r="C54" s="589"/>
      <c r="D54" s="589"/>
      <c r="E54" s="589"/>
      <c r="F54" s="312"/>
      <c r="G54" s="59"/>
      <c r="H54" s="585" t="s">
        <v>156</v>
      </c>
      <c r="I54" s="586"/>
      <c r="J54" s="586"/>
      <c r="K54" s="586"/>
      <c r="L54" s="587">
        <f>AB10+AB11+AB12+AB13+AB14+AB15+AB16+AB18+AB19+AB20+AB24+AB25+AB28+AB29+AB31+AB33+AB34+AB38+AB39</f>
        <v>2446523.3406104497</v>
      </c>
      <c r="M54" s="588"/>
      <c r="N54" s="54"/>
      <c r="O54" s="315"/>
      <c r="P54" s="54"/>
      <c r="Q54" s="54"/>
      <c r="R54" s="54"/>
      <c r="S54" s="54"/>
      <c r="T54" s="316"/>
      <c r="U54" s="316"/>
      <c r="V54" s="317"/>
      <c r="W54" s="590"/>
      <c r="X54" s="591"/>
      <c r="Y54" s="591"/>
      <c r="Z54" s="591"/>
      <c r="AA54" s="592"/>
      <c r="AB54" s="313"/>
      <c r="AD54" s="311"/>
      <c r="AE54" s="358"/>
      <c r="AF54" s="334"/>
    </row>
    <row r="55" spans="1:32" ht="24" customHeight="1" x14ac:dyDescent="0.35">
      <c r="A55" s="318"/>
      <c r="B55" s="593"/>
      <c r="C55" s="593"/>
      <c r="D55" s="593"/>
      <c r="E55" s="593"/>
      <c r="F55" s="319"/>
      <c r="G55" s="59"/>
      <c r="H55" s="594" t="s">
        <v>157</v>
      </c>
      <c r="I55" s="595"/>
      <c r="J55" s="595"/>
      <c r="K55" s="595"/>
      <c r="L55" s="596">
        <f>AB40+AB41+AB42+AB43+AB44+AB45</f>
        <v>200943.4647810453</v>
      </c>
      <c r="M55" s="597"/>
      <c r="N55" s="54"/>
      <c r="O55" s="320"/>
      <c r="P55" s="321"/>
      <c r="Q55" s="321"/>
      <c r="R55" s="321"/>
      <c r="S55" s="321"/>
      <c r="T55" s="322"/>
      <c r="U55" s="322"/>
      <c r="V55" s="323"/>
      <c r="W55" s="598"/>
      <c r="X55" s="599"/>
      <c r="Y55" s="599"/>
      <c r="Z55" s="599"/>
      <c r="AA55" s="600"/>
      <c r="AB55" s="324"/>
      <c r="AC55" s="325"/>
      <c r="AD55" s="326"/>
    </row>
    <row r="56" spans="1:32" x14ac:dyDescent="0.35">
      <c r="A56" s="55"/>
      <c r="B56" s="56"/>
      <c r="C56" s="56"/>
      <c r="D56" s="56"/>
      <c r="E56" s="56"/>
      <c r="F56" s="56"/>
      <c r="G56" s="56"/>
      <c r="H56" s="56"/>
      <c r="I56" s="56"/>
      <c r="J56" s="56"/>
      <c r="K56" s="56"/>
      <c r="W56" s="56"/>
      <c r="X56" s="56"/>
      <c r="Y56" s="56"/>
      <c r="Z56" s="56"/>
      <c r="AA56" s="56"/>
      <c r="AB56" s="56"/>
      <c r="AC56" s="56"/>
      <c r="AD56" s="56"/>
    </row>
    <row r="57" spans="1:32" x14ac:dyDescent="0.35">
      <c r="A57" s="55"/>
      <c r="B57" s="56"/>
      <c r="C57" s="56"/>
      <c r="D57" s="56"/>
      <c r="E57" s="56"/>
      <c r="F57" s="56"/>
      <c r="G57" s="56"/>
      <c r="H57" s="56"/>
      <c r="I57" s="56"/>
      <c r="J57" s="56"/>
      <c r="K57" s="56"/>
      <c r="V57" s="56"/>
      <c r="W57" s="56"/>
      <c r="X57" s="56"/>
      <c r="Y57" s="56"/>
      <c r="Z57" s="56"/>
      <c r="AA57" s="56"/>
      <c r="AB57" s="56"/>
      <c r="AC57" s="56"/>
      <c r="AD57" s="56"/>
    </row>
    <row r="59" spans="1:32" x14ac:dyDescent="0.35">
      <c r="G59" s="57"/>
    </row>
    <row r="60" spans="1:32" x14ac:dyDescent="0.35">
      <c r="G60" s="58"/>
    </row>
    <row r="61" spans="1:32" x14ac:dyDescent="0.35">
      <c r="G61" s="58"/>
    </row>
    <row r="62" spans="1:32" x14ac:dyDescent="0.35">
      <c r="G62" s="58"/>
    </row>
    <row r="63" spans="1:32" x14ac:dyDescent="0.35">
      <c r="G63" s="58"/>
    </row>
    <row r="64" spans="1:32" x14ac:dyDescent="0.35">
      <c r="G64" s="58"/>
    </row>
    <row r="65" spans="7:7" x14ac:dyDescent="0.35">
      <c r="G65" s="58"/>
    </row>
    <row r="66" spans="7:7" x14ac:dyDescent="0.35">
      <c r="G66" s="58"/>
    </row>
    <row r="67" spans="7:7" x14ac:dyDescent="0.35">
      <c r="G67" s="58"/>
    </row>
    <row r="68" spans="7:7" x14ac:dyDescent="0.35">
      <c r="G68" s="58"/>
    </row>
    <row r="69" spans="7:7" x14ac:dyDescent="0.35">
      <c r="G69" s="58"/>
    </row>
    <row r="70" spans="7:7" x14ac:dyDescent="0.35">
      <c r="G70" s="58"/>
    </row>
    <row r="71" spans="7:7" x14ac:dyDescent="0.35">
      <c r="G71" s="58"/>
    </row>
    <row r="72" spans="7:7" x14ac:dyDescent="0.35">
      <c r="G72" s="58"/>
    </row>
    <row r="73" spans="7:7" x14ac:dyDescent="0.35">
      <c r="G73" s="58"/>
    </row>
    <row r="74" spans="7:7" x14ac:dyDescent="0.35">
      <c r="G74" s="58"/>
    </row>
    <row r="75" spans="7:7" x14ac:dyDescent="0.35">
      <c r="G75" s="58"/>
    </row>
    <row r="76" spans="7:7" x14ac:dyDescent="0.35">
      <c r="G76" s="58"/>
    </row>
    <row r="77" spans="7:7" x14ac:dyDescent="0.35">
      <c r="G77" s="58"/>
    </row>
  </sheetData>
  <mergeCells count="55">
    <mergeCell ref="W54:AA54"/>
    <mergeCell ref="B55:E55"/>
    <mergeCell ref="H55:K55"/>
    <mergeCell ref="L55:M55"/>
    <mergeCell ref="W55:AA55"/>
    <mergeCell ref="B53:E53"/>
    <mergeCell ref="H53:K53"/>
    <mergeCell ref="L53:M53"/>
    <mergeCell ref="B54:E54"/>
    <mergeCell ref="H54:K54"/>
    <mergeCell ref="L54:M54"/>
    <mergeCell ref="W51:AA51"/>
    <mergeCell ref="AB51:AD51"/>
    <mergeCell ref="B52:E52"/>
    <mergeCell ref="H52:K52"/>
    <mergeCell ref="L52:M52"/>
    <mergeCell ref="A50:A51"/>
    <mergeCell ref="B50:E51"/>
    <mergeCell ref="F50:F51"/>
    <mergeCell ref="H50:M51"/>
    <mergeCell ref="O51:V51"/>
    <mergeCell ref="A1:AD1"/>
    <mergeCell ref="A2:AD2"/>
    <mergeCell ref="A3:AD3"/>
    <mergeCell ref="M4:N4"/>
    <mergeCell ref="A5:A7"/>
    <mergeCell ref="B5:D5"/>
    <mergeCell ref="E5:H5"/>
    <mergeCell ref="I5:T5"/>
    <mergeCell ref="U5:V6"/>
    <mergeCell ref="AB5:AD5"/>
    <mergeCell ref="B6:C7"/>
    <mergeCell ref="D6:D7"/>
    <mergeCell ref="E6:G6"/>
    <mergeCell ref="H6:H7"/>
    <mergeCell ref="I6:K6"/>
    <mergeCell ref="L6:O6"/>
    <mergeCell ref="W5:AA5"/>
    <mergeCell ref="W6:X6"/>
    <mergeCell ref="Y6:Y7"/>
    <mergeCell ref="Z6:Z7"/>
    <mergeCell ref="AA6:AA7"/>
    <mergeCell ref="A32:A34"/>
    <mergeCell ref="A35:A39"/>
    <mergeCell ref="A40:A45"/>
    <mergeCell ref="A47:AA47"/>
    <mergeCell ref="AB6:AC6"/>
    <mergeCell ref="A8:A16"/>
    <mergeCell ref="A17:A20"/>
    <mergeCell ref="A21:A25"/>
    <mergeCell ref="A26:A29"/>
    <mergeCell ref="A30:A31"/>
    <mergeCell ref="P6:P7"/>
    <mergeCell ref="Q6:S6"/>
    <mergeCell ref="T6:T7"/>
  </mergeCells>
  <conditionalFormatting sqref="E45:G45 E8:G43">
    <cfRule type="cellIs" dxfId="11" priority="3" stopIfTrue="1" operator="equal">
      <formula>0</formula>
    </cfRule>
  </conditionalFormatting>
  <conditionalFormatting sqref="E44:G44">
    <cfRule type="cellIs" dxfId="10" priority="2" stopIfTrue="1" operator="equal">
      <formula>0</formula>
    </cfRule>
  </conditionalFormatting>
  <conditionalFormatting sqref="L8:N45">
    <cfRule type="cellIs" dxfId="9" priority="1" stopIfTrue="1" operator="equal">
      <formula>0</formula>
    </cfRule>
  </conditionalFormatting>
  <pageMargins left="0.78740157480314965" right="0.31496062992125984" top="0.55118110236220474" bottom="0.55118110236220474" header="0.31496062992125984" footer="0.31496062992125984"/>
  <pageSetup paperSize="8" scale="74" orientation="landscape" r:id="rId1"/>
  <headerFooter>
    <oddFooter>&amp;RPAGE:  1  OF  RMU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G81"/>
  <sheetViews>
    <sheetView showGridLines="0" topLeftCell="A36" zoomScale="120" zoomScaleNormal="120" zoomScaleSheetLayoutView="120" workbookViewId="0">
      <pane xSplit="3" topLeftCell="E1" activePane="topRight" state="frozen"/>
      <selection activeCell="A21" sqref="A21"/>
      <selection pane="topRight" activeCell="AK41" sqref="AK41:AK43"/>
    </sheetView>
  </sheetViews>
  <sheetFormatPr defaultRowHeight="14.5" x14ac:dyDescent="0.35"/>
  <cols>
    <col min="1" max="1" width="8.54296875" customWidth="1"/>
    <col min="2" max="2" width="4.54296875" customWidth="1"/>
    <col min="3" max="3" width="0.1796875" customWidth="1"/>
    <col min="4" max="4" width="29.54296875" customWidth="1"/>
    <col min="5" max="5" width="7.81640625" customWidth="1"/>
    <col min="6" max="6" width="7.1796875" customWidth="1"/>
    <col min="7" max="7" width="6.81640625" customWidth="1"/>
    <col min="8" max="8" width="11.54296875" customWidth="1"/>
    <col min="9" max="9" width="8.1796875" hidden="1" customWidth="1"/>
    <col min="10" max="10" width="7.1796875" hidden="1" customWidth="1"/>
    <col min="11" max="11" width="6.81640625" customWidth="1"/>
    <col min="12" max="12" width="11.81640625" customWidth="1"/>
    <col min="13" max="13" width="8.54296875" hidden="1" customWidth="1"/>
    <col min="14" max="14" width="16.7265625" customWidth="1"/>
    <col min="15" max="15" width="7.54296875" customWidth="1"/>
    <col min="16" max="16" width="10.26953125" style="48" bestFit="1" customWidth="1"/>
    <col min="17" max="17" width="7.81640625" bestFit="1" customWidth="1"/>
    <col min="18" max="18" width="7.1796875" customWidth="1"/>
    <col min="19" max="19" width="6.81640625" customWidth="1"/>
    <col min="20" max="20" width="10.26953125" bestFit="1" customWidth="1"/>
    <col min="21" max="23" width="4.54296875" style="48" hidden="1" customWidth="1"/>
    <col min="24" max="24" width="6.54296875" hidden="1" customWidth="1"/>
    <col min="25" max="26" width="6.81640625" hidden="1" customWidth="1"/>
    <col min="27" max="27" width="7.1796875" hidden="1" customWidth="1"/>
    <col min="28" max="28" width="9" hidden="1" customWidth="1"/>
    <col min="29" max="29" width="8" hidden="1" customWidth="1"/>
    <col min="30" max="30" width="8.7265625" hidden="1" customWidth="1"/>
    <col min="31" max="32" width="9.453125" hidden="1" customWidth="1"/>
    <col min="33" max="33" width="3.81640625" hidden="1" customWidth="1"/>
    <col min="34" max="34" width="6.453125" hidden="1" customWidth="1"/>
    <col min="35" max="35" width="8.1796875" hidden="1" customWidth="1"/>
    <col min="36" max="36" width="7.1796875" hidden="1" customWidth="1"/>
    <col min="37" max="37" width="6.81640625" customWidth="1"/>
    <col min="38" max="38" width="11.81640625" customWidth="1"/>
    <col min="39" max="39" width="8.54296875" hidden="1" customWidth="1"/>
    <col min="40" max="40" width="12.81640625" customWidth="1"/>
    <col min="41" max="41" width="7.54296875" bestFit="1" customWidth="1"/>
    <col min="42" max="42" width="12.7265625" style="48" customWidth="1"/>
    <col min="43" max="45" width="12.81640625" style="378" customWidth="1"/>
    <col min="46" max="46" width="8.81640625" style="357"/>
    <col min="47" max="47" width="8.81640625" style="333"/>
    <col min="48" max="48" width="13.26953125" bestFit="1" customWidth="1"/>
    <col min="50" max="50" width="11.81640625" customWidth="1"/>
    <col min="51" max="51" width="12.453125" bestFit="1" customWidth="1"/>
    <col min="53" max="53" width="13.26953125" customWidth="1"/>
    <col min="56" max="56" width="13.1796875" customWidth="1"/>
  </cols>
  <sheetData>
    <row r="1" spans="1:59" ht="18" hidden="1" x14ac:dyDescent="0.35">
      <c r="A1" s="542" t="s">
        <v>74</v>
      </c>
      <c r="B1" s="542"/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  <c r="R1" s="542"/>
      <c r="S1" s="542"/>
      <c r="T1" s="542"/>
      <c r="U1" s="542"/>
      <c r="V1" s="542"/>
      <c r="W1" s="542"/>
      <c r="X1" s="542"/>
      <c r="Y1" s="542"/>
      <c r="Z1" s="542"/>
      <c r="AA1" s="542"/>
      <c r="AB1" s="542"/>
      <c r="AC1" s="542"/>
      <c r="AD1" s="542"/>
      <c r="AE1" s="542"/>
      <c r="AF1" s="542"/>
      <c r="AG1" s="542"/>
      <c r="AH1" s="542"/>
      <c r="AI1" s="542"/>
      <c r="AJ1" s="542"/>
      <c r="AK1" s="542"/>
      <c r="AL1" s="542"/>
      <c r="AM1" s="542"/>
      <c r="AN1" s="542"/>
      <c r="AO1" s="542"/>
      <c r="AP1" s="542"/>
      <c r="AQ1"/>
      <c r="AR1"/>
      <c r="AS1"/>
    </row>
    <row r="2" spans="1:59" ht="19" hidden="1" x14ac:dyDescent="0.35">
      <c r="A2" s="543" t="s">
        <v>181</v>
      </c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3"/>
      <c r="N2" s="543"/>
      <c r="O2" s="543"/>
      <c r="P2" s="543"/>
      <c r="Q2" s="543"/>
      <c r="R2" s="543"/>
      <c r="S2" s="543"/>
      <c r="T2" s="543"/>
      <c r="U2" s="543"/>
      <c r="V2" s="543"/>
      <c r="W2" s="543"/>
      <c r="X2" s="543"/>
      <c r="Y2" s="543"/>
      <c r="Z2" s="543"/>
      <c r="AA2" s="543"/>
      <c r="AB2" s="543"/>
      <c r="AC2" s="543"/>
      <c r="AD2" s="543"/>
      <c r="AE2" s="543"/>
      <c r="AF2" s="543"/>
      <c r="AG2" s="543"/>
      <c r="AH2" s="543"/>
      <c r="AI2" s="543"/>
      <c r="AJ2" s="543"/>
      <c r="AK2" s="543"/>
      <c r="AL2" s="543"/>
      <c r="AM2" s="543"/>
      <c r="AN2" s="543"/>
      <c r="AO2" s="543"/>
      <c r="AP2" s="543"/>
      <c r="AQ2" s="377"/>
      <c r="AR2" s="377"/>
      <c r="AS2" s="377"/>
    </row>
    <row r="3" spans="1:59" ht="19" hidden="1" x14ac:dyDescent="0.35">
      <c r="A3" s="544" t="s">
        <v>76</v>
      </c>
      <c r="B3" s="545"/>
      <c r="C3" s="545"/>
      <c r="D3" s="545"/>
      <c r="E3" s="545"/>
      <c r="F3" s="545"/>
      <c r="G3" s="545"/>
      <c r="H3" s="545"/>
      <c r="I3" s="545"/>
      <c r="J3" s="545"/>
      <c r="K3" s="545"/>
      <c r="L3" s="545"/>
      <c r="M3" s="545"/>
      <c r="N3" s="545"/>
      <c r="O3" s="545"/>
      <c r="P3" s="545"/>
      <c r="Q3" s="545"/>
      <c r="R3" s="545"/>
      <c r="S3" s="545"/>
      <c r="T3" s="545"/>
      <c r="U3" s="545"/>
      <c r="V3" s="545"/>
      <c r="W3" s="545"/>
      <c r="X3" s="545"/>
      <c r="Y3" s="545"/>
      <c r="Z3" s="545"/>
      <c r="AA3" s="545"/>
      <c r="AB3" s="545"/>
      <c r="AC3" s="545"/>
      <c r="AD3" s="545"/>
      <c r="AE3" s="545"/>
      <c r="AF3" s="545"/>
      <c r="AG3" s="545"/>
      <c r="AH3" s="545"/>
      <c r="AI3" s="545"/>
      <c r="AJ3" s="545"/>
      <c r="AK3" s="545"/>
      <c r="AL3" s="545"/>
      <c r="AM3" s="545"/>
      <c r="AN3" s="545"/>
      <c r="AO3" s="545"/>
      <c r="AP3" s="545"/>
      <c r="AQ3" s="377"/>
      <c r="AR3" s="377"/>
      <c r="AS3" s="377"/>
    </row>
    <row r="4" spans="1:59" ht="19" x14ac:dyDescent="0.35">
      <c r="A4" s="369"/>
      <c r="B4" s="481"/>
      <c r="C4" s="481"/>
      <c r="D4" s="481"/>
      <c r="E4" s="611">
        <v>2021</v>
      </c>
      <c r="F4" s="612"/>
      <c r="G4" s="612"/>
      <c r="H4" s="612"/>
      <c r="I4" s="612"/>
      <c r="J4" s="612"/>
      <c r="K4" s="612"/>
      <c r="L4" s="612"/>
      <c r="M4" s="612"/>
      <c r="N4" s="612"/>
      <c r="O4" s="612"/>
      <c r="P4" s="613"/>
      <c r="Q4" s="611">
        <v>2022</v>
      </c>
      <c r="R4" s="612"/>
      <c r="S4" s="612"/>
      <c r="T4" s="612"/>
      <c r="U4" s="612"/>
      <c r="V4" s="612"/>
      <c r="W4" s="612"/>
      <c r="X4" s="612"/>
      <c r="Y4" s="612"/>
      <c r="Z4" s="612"/>
      <c r="AA4" s="612"/>
      <c r="AB4" s="612"/>
      <c r="AC4" s="612"/>
      <c r="AD4" s="612"/>
      <c r="AE4" s="612"/>
      <c r="AF4" s="612"/>
      <c r="AG4" s="612"/>
      <c r="AH4" s="612"/>
      <c r="AI4" s="612"/>
      <c r="AJ4" s="612"/>
      <c r="AK4" s="612"/>
      <c r="AL4" s="612"/>
      <c r="AM4" s="612"/>
      <c r="AN4" s="612"/>
      <c r="AO4" s="612"/>
      <c r="AP4" s="613"/>
      <c r="AQ4" s="377"/>
      <c r="AR4" s="377"/>
      <c r="AS4" s="377"/>
    </row>
    <row r="5" spans="1:59" ht="15.5" hidden="1" x14ac:dyDescent="0.35">
      <c r="A5" s="26"/>
      <c r="B5" s="27"/>
      <c r="C5" s="27"/>
      <c r="D5" s="26"/>
      <c r="E5" s="27"/>
      <c r="F5" s="27"/>
      <c r="G5" s="27"/>
      <c r="H5" s="27"/>
      <c r="I5" s="28"/>
      <c r="J5" s="28"/>
      <c r="K5" s="26"/>
      <c r="L5" s="26"/>
      <c r="M5" s="26"/>
      <c r="N5" s="26"/>
      <c r="O5" s="26"/>
      <c r="P5" s="26"/>
      <c r="Q5" s="27"/>
      <c r="R5" s="27"/>
      <c r="S5" s="27"/>
      <c r="T5" s="27"/>
      <c r="U5" s="27"/>
      <c r="V5" s="27"/>
      <c r="W5" s="27"/>
      <c r="X5" s="26"/>
      <c r="Y5" s="546"/>
      <c r="Z5" s="546"/>
      <c r="AA5" s="26"/>
      <c r="AB5" s="26"/>
      <c r="AI5" s="28"/>
      <c r="AJ5" s="28"/>
      <c r="AL5" s="483" t="s">
        <v>178</v>
      </c>
      <c r="AM5" s="484">
        <v>0</v>
      </c>
      <c r="AN5" s="485" t="s">
        <v>179</v>
      </c>
      <c r="AO5" s="609">
        <f ca="1">TODAY()</f>
        <v>44840</v>
      </c>
      <c r="AP5" s="610"/>
      <c r="AQ5"/>
      <c r="AR5"/>
      <c r="AS5" t="s">
        <v>182</v>
      </c>
      <c r="BD5" s="430" t="s">
        <v>183</v>
      </c>
      <c r="BE5" s="431" t="s">
        <v>184</v>
      </c>
      <c r="BF5" s="431" t="s">
        <v>185</v>
      </c>
      <c r="BG5" s="431" t="s">
        <v>92</v>
      </c>
    </row>
    <row r="6" spans="1:59" ht="14.5" customHeight="1" x14ac:dyDescent="0.35">
      <c r="A6" s="547"/>
      <c r="B6" s="548" t="s">
        <v>7</v>
      </c>
      <c r="C6" s="548"/>
      <c r="D6" s="548"/>
      <c r="E6" s="548" t="s">
        <v>6</v>
      </c>
      <c r="F6" s="548"/>
      <c r="G6" s="548"/>
      <c r="H6" s="548"/>
      <c r="I6" s="534" t="s">
        <v>79</v>
      </c>
      <c r="J6" s="535"/>
      <c r="K6" s="535"/>
      <c r="L6" s="535"/>
      <c r="M6" s="535"/>
      <c r="N6" s="552" t="s">
        <v>80</v>
      </c>
      <c r="O6" s="553"/>
      <c r="P6" s="554"/>
      <c r="Q6" s="548" t="s">
        <v>6</v>
      </c>
      <c r="R6" s="548"/>
      <c r="S6" s="548"/>
      <c r="T6" s="548"/>
      <c r="U6" s="534" t="s">
        <v>77</v>
      </c>
      <c r="V6" s="535"/>
      <c r="W6" s="535"/>
      <c r="X6" s="535"/>
      <c r="Y6" s="535"/>
      <c r="Z6" s="535"/>
      <c r="AA6" s="535"/>
      <c r="AB6" s="535"/>
      <c r="AC6" s="535"/>
      <c r="AD6" s="535"/>
      <c r="AE6" s="535"/>
      <c r="AF6" s="549"/>
      <c r="AG6" s="550" t="s">
        <v>78</v>
      </c>
      <c r="AH6" s="551"/>
      <c r="AI6" s="534" t="s">
        <v>79</v>
      </c>
      <c r="AJ6" s="535"/>
      <c r="AK6" s="535"/>
      <c r="AL6" s="535"/>
      <c r="AM6" s="535"/>
      <c r="AN6" s="552" t="s">
        <v>80</v>
      </c>
      <c r="AO6" s="553"/>
      <c r="AP6" s="554"/>
      <c r="AQ6" s="379"/>
      <c r="AR6" s="379"/>
      <c r="AS6" s="379"/>
      <c r="BC6" s="436" t="s">
        <v>34</v>
      </c>
      <c r="BD6" s="433">
        <v>150.84</v>
      </c>
      <c r="BE6" s="434">
        <v>42.6</v>
      </c>
      <c r="BF6" s="435">
        <v>11.3</v>
      </c>
      <c r="BG6" s="431">
        <f t="shared" ref="BG6:BG14" si="0">SUM(BD6:BF6)</f>
        <v>204.74</v>
      </c>
    </row>
    <row r="7" spans="1:59" ht="14.5" customHeight="1" x14ac:dyDescent="0.35">
      <c r="A7" s="547"/>
      <c r="B7" s="555" t="s">
        <v>8</v>
      </c>
      <c r="C7" s="556"/>
      <c r="D7" s="548" t="s">
        <v>4</v>
      </c>
      <c r="E7" s="559" t="s">
        <v>81</v>
      </c>
      <c r="F7" s="560"/>
      <c r="G7" s="561"/>
      <c r="H7" s="562" t="s">
        <v>82</v>
      </c>
      <c r="I7" s="536" t="s">
        <v>83</v>
      </c>
      <c r="J7" s="537"/>
      <c r="K7" s="538" t="s">
        <v>88</v>
      </c>
      <c r="L7" s="538" t="s">
        <v>84</v>
      </c>
      <c r="M7" s="540" t="s">
        <v>89</v>
      </c>
      <c r="N7" s="523" t="s">
        <v>90</v>
      </c>
      <c r="O7" s="524"/>
      <c r="P7" s="29" t="s">
        <v>91</v>
      </c>
      <c r="Q7" s="559" t="s">
        <v>81</v>
      </c>
      <c r="R7" s="560"/>
      <c r="S7" s="561"/>
      <c r="T7" s="562" t="s">
        <v>82</v>
      </c>
      <c r="U7" s="564" t="s">
        <v>83</v>
      </c>
      <c r="V7" s="565"/>
      <c r="W7" s="566"/>
      <c r="X7" s="567" t="s">
        <v>84</v>
      </c>
      <c r="Y7" s="568"/>
      <c r="Z7" s="568"/>
      <c r="AA7" s="569"/>
      <c r="AB7" s="527" t="s">
        <v>85</v>
      </c>
      <c r="AC7" s="529" t="s">
        <v>86</v>
      </c>
      <c r="AD7" s="530"/>
      <c r="AE7" s="531"/>
      <c r="AF7" s="532" t="s">
        <v>87</v>
      </c>
      <c r="AG7" s="550"/>
      <c r="AH7" s="551"/>
      <c r="AI7" s="536" t="s">
        <v>83</v>
      </c>
      <c r="AJ7" s="537"/>
      <c r="AK7" s="538" t="s">
        <v>88</v>
      </c>
      <c r="AL7" s="538" t="s">
        <v>84</v>
      </c>
      <c r="AM7" s="540" t="s">
        <v>89</v>
      </c>
      <c r="AN7" s="523" t="s">
        <v>90</v>
      </c>
      <c r="AO7" s="524"/>
      <c r="AP7" s="29" t="s">
        <v>91</v>
      </c>
      <c r="AQ7" s="379"/>
      <c r="AR7" s="379"/>
      <c r="AS7" s="430" t="s">
        <v>186</v>
      </c>
      <c r="AT7" s="430" t="s">
        <v>183</v>
      </c>
      <c r="AU7" s="431" t="s">
        <v>184</v>
      </c>
      <c r="AV7" s="431" t="s">
        <v>185</v>
      </c>
      <c r="AW7" s="431" t="s">
        <v>92</v>
      </c>
      <c r="BC7" t="s">
        <v>169</v>
      </c>
      <c r="BD7">
        <f>(7.6+7.1)</f>
        <v>14.7</v>
      </c>
      <c r="BE7">
        <f>(3.8+4.3)</f>
        <v>8.1</v>
      </c>
      <c r="BG7" s="431">
        <f t="shared" si="0"/>
        <v>22.799999999999997</v>
      </c>
    </row>
    <row r="8" spans="1:59" x14ac:dyDescent="0.35">
      <c r="A8" s="547"/>
      <c r="B8" s="557"/>
      <c r="C8" s="558"/>
      <c r="D8" s="548"/>
      <c r="E8" s="30" t="s">
        <v>9</v>
      </c>
      <c r="F8" s="31" t="s">
        <v>10</v>
      </c>
      <c r="G8" s="32" t="s">
        <v>11</v>
      </c>
      <c r="H8" s="563"/>
      <c r="I8" s="38" t="s">
        <v>97</v>
      </c>
      <c r="J8" s="39" t="s">
        <v>98</v>
      </c>
      <c r="K8" s="539"/>
      <c r="L8" s="539"/>
      <c r="M8" s="541"/>
      <c r="N8" s="40" t="s">
        <v>99</v>
      </c>
      <c r="O8" s="71" t="s">
        <v>100</v>
      </c>
      <c r="P8" s="41" t="s">
        <v>99</v>
      </c>
      <c r="Q8" s="30" t="s">
        <v>9</v>
      </c>
      <c r="R8" s="31" t="s">
        <v>10</v>
      </c>
      <c r="S8" s="32" t="s">
        <v>11</v>
      </c>
      <c r="T8" s="563"/>
      <c r="U8" s="30" t="s">
        <v>9</v>
      </c>
      <c r="V8" s="31" t="s">
        <v>10</v>
      </c>
      <c r="W8" s="32" t="s">
        <v>11</v>
      </c>
      <c r="X8" s="30" t="s">
        <v>9</v>
      </c>
      <c r="Y8" s="31" t="s">
        <v>10</v>
      </c>
      <c r="Z8" s="33" t="s">
        <v>11</v>
      </c>
      <c r="AA8" s="34" t="s">
        <v>92</v>
      </c>
      <c r="AB8" s="528"/>
      <c r="AC8" s="35" t="s">
        <v>93</v>
      </c>
      <c r="AD8" s="36" t="s">
        <v>94</v>
      </c>
      <c r="AE8" s="37" t="s">
        <v>95</v>
      </c>
      <c r="AF8" s="533"/>
      <c r="AG8" s="30" t="s">
        <v>96</v>
      </c>
      <c r="AH8" s="33" t="s">
        <v>5</v>
      </c>
      <c r="AI8" s="38" t="s">
        <v>97</v>
      </c>
      <c r="AJ8" s="39" t="s">
        <v>98</v>
      </c>
      <c r="AK8" s="539"/>
      <c r="AL8" s="539"/>
      <c r="AM8" s="541"/>
      <c r="AN8" s="40" t="s">
        <v>99</v>
      </c>
      <c r="AO8" s="71" t="s">
        <v>100</v>
      </c>
      <c r="AP8" s="41" t="s">
        <v>99</v>
      </c>
      <c r="AQ8" s="379"/>
      <c r="AR8" s="379"/>
      <c r="AS8" s="430" t="s">
        <v>12</v>
      </c>
      <c r="AT8" s="430">
        <v>63.699999999999996</v>
      </c>
      <c r="AU8" s="431">
        <v>19.239999999999998</v>
      </c>
      <c r="AV8" s="431">
        <v>19.429999999999996</v>
      </c>
      <c r="AW8" s="431">
        <f>SUM(AT8:AV8)</f>
        <v>102.36999999999999</v>
      </c>
      <c r="AX8" t="s">
        <v>187</v>
      </c>
      <c r="BC8" t="s">
        <v>170</v>
      </c>
      <c r="BD8">
        <f>(7.75+8.15+0.5+0.1)</f>
        <v>16.5</v>
      </c>
      <c r="BG8" s="431">
        <f t="shared" si="0"/>
        <v>16.5</v>
      </c>
    </row>
    <row r="9" spans="1:59" ht="14.15" customHeight="1" x14ac:dyDescent="0.35">
      <c r="A9" s="525" t="s">
        <v>12</v>
      </c>
      <c r="B9" s="140">
        <v>1011</v>
      </c>
      <c r="C9" s="42"/>
      <c r="D9" s="141" t="s">
        <v>101</v>
      </c>
      <c r="E9" s="111">
        <v>60.7</v>
      </c>
      <c r="F9" s="181">
        <v>33.69</v>
      </c>
      <c r="G9" s="142">
        <v>33.379999999999995</v>
      </c>
      <c r="H9" s="258">
        <v>127.77</v>
      </c>
      <c r="I9" s="221">
        <v>2.3086796587618372</v>
      </c>
      <c r="J9" s="277">
        <v>0.57716991469045931</v>
      </c>
      <c r="K9" s="202">
        <v>0.25</v>
      </c>
      <c r="L9" s="253">
        <v>73.74499999999999</v>
      </c>
      <c r="M9" s="228">
        <v>12.290833333333332</v>
      </c>
      <c r="N9" s="233">
        <v>20907.444949999997</v>
      </c>
      <c r="O9" s="234">
        <v>6.0018693389754128E-3</v>
      </c>
      <c r="P9" s="236"/>
      <c r="Q9" s="111">
        <v>63.7</v>
      </c>
      <c r="R9" s="181">
        <v>19.239999999999998</v>
      </c>
      <c r="S9" s="142">
        <v>19.43</v>
      </c>
      <c r="T9" s="258">
        <f t="shared" ref="T9:T22" si="1">SUM(Q9:S9)</f>
        <v>102.37</v>
      </c>
      <c r="U9" s="144">
        <v>1</v>
      </c>
      <c r="V9" s="145">
        <v>2</v>
      </c>
      <c r="W9" s="146">
        <v>5</v>
      </c>
      <c r="X9" s="183">
        <f>Q9*U9</f>
        <v>63.7</v>
      </c>
      <c r="Y9" s="184">
        <f>R9*V9</f>
        <v>38.479999999999997</v>
      </c>
      <c r="Z9" s="194">
        <f>S9*W9</f>
        <v>97.15</v>
      </c>
      <c r="AA9" s="190">
        <f>SUM(X9:Z9)</f>
        <v>199.33</v>
      </c>
      <c r="AB9" s="126">
        <f>AA9/AG9</f>
        <v>33.221666666666671</v>
      </c>
      <c r="AC9" s="147">
        <v>490.01</v>
      </c>
      <c r="AD9" s="90">
        <v>1003.93</v>
      </c>
      <c r="AE9" s="148">
        <v>207.12</v>
      </c>
      <c r="AF9" s="149">
        <f>SUM(AC9:AE9)</f>
        <v>1701.06</v>
      </c>
      <c r="AG9" s="115">
        <v>6</v>
      </c>
      <c r="AH9" s="139" t="s">
        <v>60</v>
      </c>
      <c r="AI9" s="221">
        <f>SUM(AA9/T9)</f>
        <v>1.9471524860799063</v>
      </c>
      <c r="AJ9" s="277">
        <f>SUM(AK9*AI9)</f>
        <v>0.48678812151997658</v>
      </c>
      <c r="AK9" s="403">
        <v>0.25</v>
      </c>
      <c r="AL9" s="253">
        <f>AK9*AA9</f>
        <v>49.832500000000003</v>
      </c>
      <c r="AM9" s="228">
        <f>SUM(AL9/AG9)</f>
        <v>8.3054166666666678</v>
      </c>
      <c r="AN9" s="233">
        <f>SUM(AF9*AM9)</f>
        <v>14128.012075000001</v>
      </c>
      <c r="AO9" s="234">
        <f>SUM(AN9/$AN$48)</f>
        <v>4.6738503929580491E-3</v>
      </c>
      <c r="AP9" s="236"/>
      <c r="AQ9" s="380"/>
      <c r="AR9" s="380"/>
      <c r="AS9" s="432" t="s">
        <v>22</v>
      </c>
      <c r="AT9" s="433">
        <v>2.3000000000000003</v>
      </c>
      <c r="AU9" s="434">
        <v>21.43</v>
      </c>
      <c r="AV9" s="435">
        <v>4.5</v>
      </c>
      <c r="AW9" s="431">
        <f t="shared" ref="AW9:AW20" si="2">SUM(AT9:AV9)</f>
        <v>28.23</v>
      </c>
      <c r="BC9" t="s">
        <v>168</v>
      </c>
      <c r="BD9">
        <f>(10.3+0.1+10.3+0.1)</f>
        <v>20.800000000000004</v>
      </c>
      <c r="BE9">
        <f>(1.615+1.615)</f>
        <v>3.23</v>
      </c>
      <c r="BF9">
        <f>(0.5+0.5)</f>
        <v>1</v>
      </c>
      <c r="BG9" s="431">
        <f t="shared" si="0"/>
        <v>25.030000000000005</v>
      </c>
    </row>
    <row r="10" spans="1:59" ht="14.15" customHeight="1" x14ac:dyDescent="0.35">
      <c r="A10" s="517"/>
      <c r="B10" s="73">
        <v>1012</v>
      </c>
      <c r="C10" s="43"/>
      <c r="D10" s="91" t="s">
        <v>103</v>
      </c>
      <c r="E10" s="127">
        <v>60.7</v>
      </c>
      <c r="F10" s="123">
        <v>33.69</v>
      </c>
      <c r="G10" s="128">
        <v>33.379999999999995</v>
      </c>
      <c r="H10" s="259">
        <v>127.77</v>
      </c>
      <c r="I10" s="221">
        <v>2.3086796587618372</v>
      </c>
      <c r="J10" s="274">
        <v>0.57716991469045931</v>
      </c>
      <c r="K10" s="203">
        <v>0.25</v>
      </c>
      <c r="L10" s="253">
        <v>73.74499999999999</v>
      </c>
      <c r="M10" s="228">
        <v>14.748999999999999</v>
      </c>
      <c r="N10" s="233">
        <v>31657.843559999998</v>
      </c>
      <c r="O10" s="234">
        <v>9.0879703883110889E-3</v>
      </c>
      <c r="P10" s="237"/>
      <c r="Q10" s="127">
        <v>63.7</v>
      </c>
      <c r="R10" s="123">
        <v>19.239999999999998</v>
      </c>
      <c r="S10" s="128">
        <v>19.43</v>
      </c>
      <c r="T10" s="259">
        <f>SUM(Q10:S10)</f>
        <v>102.37</v>
      </c>
      <c r="U10" s="96">
        <v>1</v>
      </c>
      <c r="V10" s="97">
        <v>2</v>
      </c>
      <c r="W10" s="98">
        <v>5</v>
      </c>
      <c r="X10" s="99">
        <f t="shared" ref="X10:Z44" si="3">Q10*U10</f>
        <v>63.7</v>
      </c>
      <c r="Y10" s="100">
        <f t="shared" si="3"/>
        <v>38.479999999999997</v>
      </c>
      <c r="Z10" s="188">
        <f t="shared" si="3"/>
        <v>97.15</v>
      </c>
      <c r="AA10" s="150">
        <f t="shared" ref="AA10:AA46" si="4">SUM(X10:Z10)</f>
        <v>199.33</v>
      </c>
      <c r="AB10" s="101">
        <f t="shared" ref="AB10:AB46" si="5">AA10/AG10</f>
        <v>39.866</v>
      </c>
      <c r="AC10" s="154">
        <v>490.01</v>
      </c>
      <c r="AD10" s="87">
        <v>1003.93</v>
      </c>
      <c r="AE10" s="88">
        <v>652.5</v>
      </c>
      <c r="AF10" s="189">
        <f t="shared" ref="AF10:AF44" si="6">SUM(AC10:AE10)</f>
        <v>2146.44</v>
      </c>
      <c r="AG10" s="96">
        <v>5</v>
      </c>
      <c r="AH10" s="152" t="s">
        <v>60</v>
      </c>
      <c r="AI10" s="221">
        <f t="shared" ref="AI10:AI44" si="7">SUM(AA10/T10)</f>
        <v>1.9471524860799063</v>
      </c>
      <c r="AJ10" s="274">
        <f t="shared" ref="AJ10:AJ44" si="8">SUM(AK10*AI10)</f>
        <v>0.48678812151997658</v>
      </c>
      <c r="AK10" s="404">
        <v>0.25</v>
      </c>
      <c r="AL10" s="253">
        <f t="shared" ref="AL10:AL44" si="9">AK10*AA10</f>
        <v>49.832500000000003</v>
      </c>
      <c r="AM10" s="228">
        <f t="shared" ref="AM10:AM44" si="10">SUM(AL10/AG10)</f>
        <v>9.9664999999999999</v>
      </c>
      <c r="AN10" s="233">
        <f t="shared" ref="AN10:AN44" si="11">SUM(AF10*AM10)</f>
        <v>21392.494259999999</v>
      </c>
      <c r="AO10" s="234">
        <f t="shared" ref="AO10:AO44" si="12">SUM(AN10/$AN$48)</f>
        <v>7.0770974127620711E-3</v>
      </c>
      <c r="AP10" s="237"/>
      <c r="AQ10" s="380"/>
      <c r="AR10" s="380"/>
      <c r="AS10" s="432" t="s">
        <v>188</v>
      </c>
      <c r="AT10" s="433">
        <v>63.300000000000011</v>
      </c>
      <c r="AU10" s="434">
        <v>15.73</v>
      </c>
      <c r="AV10" s="435">
        <v>6.6000000000000005</v>
      </c>
      <c r="AW10" s="431">
        <f t="shared" si="2"/>
        <v>85.63000000000001</v>
      </c>
      <c r="AX10">
        <f>28.23*2</f>
        <v>56.46</v>
      </c>
      <c r="BD10">
        <f>BD6-(SUM(BD7:BD9))</f>
        <v>98.84</v>
      </c>
      <c r="BE10">
        <f t="shared" ref="BE10:BF10" si="13">BE6-(SUM(BE7:BE9))</f>
        <v>31.270000000000003</v>
      </c>
      <c r="BF10">
        <f t="shared" si="13"/>
        <v>10.3</v>
      </c>
      <c r="BG10" s="431">
        <f t="shared" si="0"/>
        <v>140.41000000000003</v>
      </c>
    </row>
    <row r="11" spans="1:59" ht="14.15" customHeight="1" x14ac:dyDescent="0.35">
      <c r="A11" s="517"/>
      <c r="B11" s="73">
        <v>3013</v>
      </c>
      <c r="C11" s="43"/>
      <c r="D11" s="91" t="s">
        <v>104</v>
      </c>
      <c r="E11" s="198">
        <v>546.30000000000007</v>
      </c>
      <c r="F11" s="93">
        <v>303.20999999999998</v>
      </c>
      <c r="G11" s="128">
        <v>300.42</v>
      </c>
      <c r="H11" s="260">
        <v>1149.93</v>
      </c>
      <c r="I11" s="221">
        <v>0.23208108319636847</v>
      </c>
      <c r="J11" s="227">
        <v>2.0887297487673161E-2</v>
      </c>
      <c r="K11" s="203">
        <v>0.09</v>
      </c>
      <c r="L11" s="253">
        <v>24.018930000000001</v>
      </c>
      <c r="M11" s="228">
        <v>10.443013043478262</v>
      </c>
      <c r="N11" s="233">
        <v>1013076.904208087</v>
      </c>
      <c r="O11" s="234">
        <v>0.29082249045408343</v>
      </c>
      <c r="P11" s="237"/>
      <c r="Q11" s="198">
        <f>63.7*9</f>
        <v>573.30000000000007</v>
      </c>
      <c r="R11" s="93">
        <f>19.24*9</f>
        <v>173.16</v>
      </c>
      <c r="S11" s="128">
        <f>19.43*9</f>
        <v>174.87</v>
      </c>
      <c r="T11" s="260">
        <f t="shared" si="1"/>
        <v>921.33</v>
      </c>
      <c r="U11" s="96">
        <v>0.1</v>
      </c>
      <c r="V11" s="97">
        <v>0.7</v>
      </c>
      <c r="W11" s="98" t="s">
        <v>2</v>
      </c>
      <c r="X11" s="99">
        <f t="shared" si="3"/>
        <v>57.330000000000013</v>
      </c>
      <c r="Y11" s="100">
        <f t="shared" si="3"/>
        <v>121.21199999999999</v>
      </c>
      <c r="Z11" s="188"/>
      <c r="AA11" s="150">
        <f t="shared" si="4"/>
        <v>178.542</v>
      </c>
      <c r="AB11" s="101">
        <f t="shared" si="5"/>
        <v>77.626956521739132</v>
      </c>
      <c r="AC11" s="151">
        <v>2158.2199999999998</v>
      </c>
      <c r="AD11" s="103">
        <v>8544.2999999999993</v>
      </c>
      <c r="AE11" s="104">
        <v>86307.5</v>
      </c>
      <c r="AF11" s="105">
        <f t="shared" si="6"/>
        <v>97010.02</v>
      </c>
      <c r="AG11" s="96">
        <v>2.2999999999999998</v>
      </c>
      <c r="AH11" s="152" t="s">
        <v>61</v>
      </c>
      <c r="AI11" s="221">
        <f t="shared" si="7"/>
        <v>0.19378724235615902</v>
      </c>
      <c r="AJ11" s="227">
        <f t="shared" si="8"/>
        <v>1.5502979388492722E-2</v>
      </c>
      <c r="AK11" s="404">
        <v>0.08</v>
      </c>
      <c r="AL11" s="253">
        <f t="shared" si="9"/>
        <v>14.28336</v>
      </c>
      <c r="AM11" s="228">
        <f t="shared" si="10"/>
        <v>6.2101565217391306</v>
      </c>
      <c r="AN11" s="233">
        <f t="shared" si="11"/>
        <v>602447.40837704355</v>
      </c>
      <c r="AO11" s="234">
        <f t="shared" si="12"/>
        <v>0.19930256581265013</v>
      </c>
      <c r="AP11" s="237"/>
      <c r="AQ11" s="381">
        <f>(AL11*1000)/8.5</f>
        <v>1680.3952941176472</v>
      </c>
      <c r="AR11" s="381"/>
      <c r="AS11" s="436" t="s">
        <v>189</v>
      </c>
      <c r="AT11" s="433">
        <v>114.795</v>
      </c>
      <c r="AU11" s="434">
        <v>14.200000000000001</v>
      </c>
      <c r="AV11" s="435">
        <v>4.2</v>
      </c>
      <c r="AW11" s="431">
        <f t="shared" si="2"/>
        <v>133.19499999999999</v>
      </c>
      <c r="BC11" t="s">
        <v>169</v>
      </c>
      <c r="BD11">
        <f>(7.6+7.1)*3</f>
        <v>44.099999999999994</v>
      </c>
      <c r="BE11">
        <f>(3.8+4.3)*3</f>
        <v>24.299999999999997</v>
      </c>
      <c r="BG11" s="431">
        <f t="shared" si="0"/>
        <v>68.399999999999991</v>
      </c>
    </row>
    <row r="12" spans="1:59" ht="14.15" customHeight="1" x14ac:dyDescent="0.35">
      <c r="A12" s="517"/>
      <c r="B12" s="73">
        <v>3014</v>
      </c>
      <c r="C12" s="43"/>
      <c r="D12" s="91" t="s">
        <v>106</v>
      </c>
      <c r="E12" s="198">
        <v>60.7</v>
      </c>
      <c r="F12" s="123">
        <v>33.69</v>
      </c>
      <c r="G12" s="173">
        <v>33.379999999999995</v>
      </c>
      <c r="H12" s="259">
        <v>127.77</v>
      </c>
      <c r="I12" s="221">
        <v>31.422869218126319</v>
      </c>
      <c r="J12" s="273">
        <v>0.94268607654378955</v>
      </c>
      <c r="K12" s="203">
        <v>0.03</v>
      </c>
      <c r="L12" s="253">
        <v>120.44699999999999</v>
      </c>
      <c r="M12" s="228">
        <v>8.0297999999999998</v>
      </c>
      <c r="N12" s="233">
        <v>115078.757508</v>
      </c>
      <c r="O12" s="234">
        <v>3.3035488932599187E-2</v>
      </c>
      <c r="P12" s="235">
        <v>1747943.8084847075</v>
      </c>
      <c r="Q12" s="127">
        <v>63.7</v>
      </c>
      <c r="R12" s="123">
        <v>19.239999999999998</v>
      </c>
      <c r="S12" s="128">
        <v>19.43</v>
      </c>
      <c r="T12" s="259">
        <f t="shared" si="1"/>
        <v>102.37</v>
      </c>
      <c r="U12" s="80" t="s">
        <v>2</v>
      </c>
      <c r="V12" s="81">
        <v>30</v>
      </c>
      <c r="W12" s="82">
        <v>90</v>
      </c>
      <c r="X12" s="99"/>
      <c r="Y12" s="100">
        <f t="shared" si="3"/>
        <v>577.19999999999993</v>
      </c>
      <c r="Z12" s="188">
        <f t="shared" si="3"/>
        <v>1748.7</v>
      </c>
      <c r="AA12" s="150">
        <f t="shared" si="4"/>
        <v>2325.9</v>
      </c>
      <c r="AB12" s="101">
        <f t="shared" si="5"/>
        <v>155.06</v>
      </c>
      <c r="AC12" s="154">
        <v>1308.51</v>
      </c>
      <c r="AD12" s="103">
        <v>3801.7</v>
      </c>
      <c r="AE12" s="104">
        <v>9221.25</v>
      </c>
      <c r="AF12" s="89">
        <f t="shared" si="6"/>
        <v>14331.46</v>
      </c>
      <c r="AG12" s="80">
        <v>15</v>
      </c>
      <c r="AH12" s="152" t="s">
        <v>3</v>
      </c>
      <c r="AI12" s="221">
        <f t="shared" si="7"/>
        <v>22.72052359089577</v>
      </c>
      <c r="AJ12" s="273">
        <f t="shared" si="8"/>
        <v>1.0514558466347563</v>
      </c>
      <c r="AK12" s="404">
        <v>4.6277800000000001E-2</v>
      </c>
      <c r="AL12" s="253">
        <f t="shared" si="9"/>
        <v>107.63753502</v>
      </c>
      <c r="AM12" s="228">
        <f t="shared" si="10"/>
        <v>7.1758356680000004</v>
      </c>
      <c r="AN12" s="233">
        <f t="shared" si="11"/>
        <v>102840.20184251528</v>
      </c>
      <c r="AO12" s="234">
        <f t="shared" si="12"/>
        <v>3.4021751626619072E-2</v>
      </c>
      <c r="AP12" s="235">
        <f>SUM(AN9:AN17)</f>
        <v>1202716.8820442141</v>
      </c>
      <c r="AQ12" s="381">
        <f>AL12/(0.05*8.5)</f>
        <v>253.26478828235292</v>
      </c>
      <c r="AR12" s="381"/>
      <c r="AS12" s="436" t="s">
        <v>190</v>
      </c>
      <c r="AT12" s="433">
        <v>9.26</v>
      </c>
      <c r="AU12" s="434">
        <v>47.2</v>
      </c>
      <c r="AV12" s="435">
        <v>0</v>
      </c>
      <c r="AW12" s="431">
        <f t="shared" si="2"/>
        <v>56.46</v>
      </c>
      <c r="BC12" t="s">
        <v>170</v>
      </c>
      <c r="BD12">
        <f>(7.75+8.15+0.5+0.1)*3</f>
        <v>49.5</v>
      </c>
      <c r="BG12" s="431">
        <f t="shared" si="0"/>
        <v>49.5</v>
      </c>
    </row>
    <row r="13" spans="1:59" ht="14.15" customHeight="1" x14ac:dyDescent="0.35">
      <c r="A13" s="517"/>
      <c r="B13" s="73">
        <v>3015</v>
      </c>
      <c r="C13" s="43"/>
      <c r="D13" s="91" t="s">
        <v>108</v>
      </c>
      <c r="E13" s="127"/>
      <c r="F13" s="93"/>
      <c r="G13" s="128"/>
      <c r="H13" s="259"/>
      <c r="I13" s="221">
        <v>100.24262346403694</v>
      </c>
      <c r="J13" s="274"/>
      <c r="K13" s="203" t="s">
        <v>2</v>
      </c>
      <c r="L13" s="253"/>
      <c r="M13" s="228"/>
      <c r="N13" s="233"/>
      <c r="O13" s="234"/>
      <c r="P13" s="238">
        <v>0.50177964717760881</v>
      </c>
      <c r="Q13" s="127"/>
      <c r="R13" s="93"/>
      <c r="S13" s="128"/>
      <c r="T13" s="259"/>
      <c r="U13" s="157">
        <v>100</v>
      </c>
      <c r="V13" s="97">
        <v>200</v>
      </c>
      <c r="W13" s="152" t="s">
        <v>2</v>
      </c>
      <c r="X13" s="99">
        <f t="shared" si="3"/>
        <v>0</v>
      </c>
      <c r="Y13" s="100">
        <f t="shared" si="3"/>
        <v>0</v>
      </c>
      <c r="Z13" s="188"/>
      <c r="AA13" s="150">
        <f t="shared" si="4"/>
        <v>0</v>
      </c>
      <c r="AB13" s="101">
        <f t="shared" si="5"/>
        <v>0</v>
      </c>
      <c r="AC13" s="154">
        <v>767.14</v>
      </c>
      <c r="AD13" s="103">
        <v>1529.8</v>
      </c>
      <c r="AE13" s="104">
        <v>348.3</v>
      </c>
      <c r="AF13" s="189">
        <f t="shared" si="6"/>
        <v>2645.2400000000002</v>
      </c>
      <c r="AG13" s="96">
        <v>300</v>
      </c>
      <c r="AH13" s="152" t="s">
        <v>62</v>
      </c>
      <c r="AI13" s="221"/>
      <c r="AJ13" s="274"/>
      <c r="AK13" s="404"/>
      <c r="AL13" s="253"/>
      <c r="AM13" s="228"/>
      <c r="AN13" s="233"/>
      <c r="AO13" s="234"/>
      <c r="AP13" s="238">
        <f>SUM(AO9:AO17)</f>
        <v>0.39788462395971086</v>
      </c>
      <c r="AQ13" s="381"/>
      <c r="AR13" s="381"/>
      <c r="AS13" s="436" t="s">
        <v>191</v>
      </c>
      <c r="AT13" s="433">
        <v>47.7</v>
      </c>
      <c r="AU13" s="434">
        <v>128.9</v>
      </c>
      <c r="AV13" s="435">
        <v>8.6</v>
      </c>
      <c r="AW13" s="431">
        <f t="shared" si="2"/>
        <v>185.20000000000002</v>
      </c>
      <c r="BC13" t="s">
        <v>168</v>
      </c>
      <c r="BD13">
        <f>(10.3+0.1+10.3+0.1)*3</f>
        <v>62.400000000000013</v>
      </c>
      <c r="BE13">
        <f>(1.615+1.615)*3</f>
        <v>9.69</v>
      </c>
      <c r="BF13">
        <f>(0.5+0.5)*3</f>
        <v>3</v>
      </c>
      <c r="BG13" s="431">
        <f t="shared" si="0"/>
        <v>75.090000000000018</v>
      </c>
    </row>
    <row r="14" spans="1:59" ht="14.15" customHeight="1" x14ac:dyDescent="0.35">
      <c r="A14" s="517"/>
      <c r="B14" s="73">
        <v>3016</v>
      </c>
      <c r="C14" s="43"/>
      <c r="D14" s="91" t="s">
        <v>109</v>
      </c>
      <c r="E14" s="198"/>
      <c r="F14" s="93"/>
      <c r="G14" s="128"/>
      <c r="H14" s="260"/>
      <c r="I14" s="221">
        <v>6.3305157705251622E-2</v>
      </c>
      <c r="J14" s="227"/>
      <c r="K14" s="203" t="s">
        <v>2</v>
      </c>
      <c r="L14" s="253"/>
      <c r="M14" s="228"/>
      <c r="N14" s="233"/>
      <c r="O14" s="234"/>
      <c r="P14" s="237"/>
      <c r="Q14" s="198"/>
      <c r="R14" s="93"/>
      <c r="S14" s="128"/>
      <c r="T14" s="260"/>
      <c r="U14" s="157">
        <v>0.05</v>
      </c>
      <c r="V14" s="97">
        <v>0.15</v>
      </c>
      <c r="W14" s="152" t="s">
        <v>2</v>
      </c>
      <c r="X14" s="99">
        <f t="shared" si="3"/>
        <v>0</v>
      </c>
      <c r="Y14" s="100">
        <f t="shared" si="3"/>
        <v>0</v>
      </c>
      <c r="Z14" s="188"/>
      <c r="AA14" s="150">
        <f t="shared" si="4"/>
        <v>0</v>
      </c>
      <c r="AB14" s="101">
        <f t="shared" si="5"/>
        <v>0</v>
      </c>
      <c r="AC14" s="154">
        <v>1086.48</v>
      </c>
      <c r="AD14" s="103">
        <v>3727.46</v>
      </c>
      <c r="AE14" s="104">
        <v>15636.68</v>
      </c>
      <c r="AF14" s="105">
        <f t="shared" si="6"/>
        <v>20450.620000000003</v>
      </c>
      <c r="AG14" s="80">
        <v>5</v>
      </c>
      <c r="AH14" s="152" t="s">
        <v>61</v>
      </c>
      <c r="AI14" s="221"/>
      <c r="AJ14" s="227"/>
      <c r="AK14" s="404"/>
      <c r="AL14" s="253"/>
      <c r="AM14" s="228"/>
      <c r="AN14" s="233"/>
      <c r="AO14" s="234"/>
      <c r="AP14" s="237"/>
      <c r="AQ14" s="381"/>
      <c r="AR14" s="381"/>
      <c r="AS14" s="436" t="s">
        <v>34</v>
      </c>
      <c r="AT14" s="433">
        <v>150.84</v>
      </c>
      <c r="AU14" s="434">
        <v>42.6</v>
      </c>
      <c r="AV14" s="435">
        <v>11.3</v>
      </c>
      <c r="AW14" s="431">
        <f t="shared" si="2"/>
        <v>204.74</v>
      </c>
      <c r="BC14" t="s">
        <v>192</v>
      </c>
      <c r="BD14">
        <f>SUM(BD11:BD13)</f>
        <v>156</v>
      </c>
      <c r="BE14">
        <f t="shared" ref="BE14:BF14" si="14">SUM(BE11:BE13)</f>
        <v>33.989999999999995</v>
      </c>
      <c r="BF14">
        <f t="shared" si="14"/>
        <v>3</v>
      </c>
      <c r="BG14" s="431">
        <f t="shared" si="0"/>
        <v>192.99</v>
      </c>
    </row>
    <row r="15" spans="1:59" ht="14.15" customHeight="1" x14ac:dyDescent="0.35">
      <c r="A15" s="517"/>
      <c r="B15" s="73">
        <v>3017</v>
      </c>
      <c r="C15" s="43"/>
      <c r="D15" s="91" t="s">
        <v>110</v>
      </c>
      <c r="E15" s="198"/>
      <c r="F15" s="93"/>
      <c r="G15" s="128"/>
      <c r="H15" s="260"/>
      <c r="I15" s="221">
        <v>6.3305157705251622E-2</v>
      </c>
      <c r="J15" s="227"/>
      <c r="K15" s="203" t="s">
        <v>2</v>
      </c>
      <c r="L15" s="253"/>
      <c r="M15" s="228"/>
      <c r="N15" s="233"/>
      <c r="O15" s="234"/>
      <c r="P15" s="237"/>
      <c r="Q15" s="198"/>
      <c r="R15" s="93"/>
      <c r="S15" s="128"/>
      <c r="T15" s="260"/>
      <c r="U15" s="157">
        <v>0.05</v>
      </c>
      <c r="V15" s="97">
        <v>0.15</v>
      </c>
      <c r="W15" s="152" t="s">
        <v>2</v>
      </c>
      <c r="X15" s="99">
        <f t="shared" si="3"/>
        <v>0</v>
      </c>
      <c r="Y15" s="100">
        <f t="shared" si="3"/>
        <v>0</v>
      </c>
      <c r="Z15" s="188"/>
      <c r="AA15" s="150">
        <f t="shared" si="4"/>
        <v>0</v>
      </c>
      <c r="AB15" s="101">
        <f t="shared" si="5"/>
        <v>0</v>
      </c>
      <c r="AC15" s="154">
        <v>1086.48</v>
      </c>
      <c r="AD15" s="103">
        <v>3762.74</v>
      </c>
      <c r="AE15" s="104">
        <v>6387</v>
      </c>
      <c r="AF15" s="189">
        <f t="shared" si="6"/>
        <v>11236.22</v>
      </c>
      <c r="AG15" s="96">
        <v>2</v>
      </c>
      <c r="AH15" s="152" t="s">
        <v>61</v>
      </c>
      <c r="AI15" s="221"/>
      <c r="AJ15" s="227"/>
      <c r="AK15" s="404"/>
      <c r="AL15" s="253"/>
      <c r="AM15" s="228"/>
      <c r="AN15" s="233"/>
      <c r="AO15" s="234"/>
      <c r="AP15" s="237"/>
      <c r="AQ15" s="381"/>
      <c r="AR15" s="381"/>
      <c r="AS15" s="436" t="s">
        <v>193</v>
      </c>
      <c r="AT15" s="433">
        <v>623</v>
      </c>
      <c r="AU15" s="434">
        <v>54</v>
      </c>
      <c r="AV15" s="435">
        <v>12</v>
      </c>
      <c r="AW15" s="431">
        <f t="shared" si="2"/>
        <v>689</v>
      </c>
      <c r="BC15" t="s">
        <v>194</v>
      </c>
      <c r="BD15">
        <f>BD10*2</f>
        <v>197.68</v>
      </c>
      <c r="BE15">
        <f t="shared" ref="BE15:BF15" si="15">BE10*2</f>
        <v>62.540000000000006</v>
      </c>
      <c r="BF15">
        <f t="shared" si="15"/>
        <v>20.6</v>
      </c>
      <c r="BG15" s="450">
        <f>SUM(BD15:BF15)</f>
        <v>280.82000000000005</v>
      </c>
    </row>
    <row r="16" spans="1:59" ht="14.15" customHeight="1" x14ac:dyDescent="0.35">
      <c r="A16" s="517"/>
      <c r="B16" s="73">
        <v>3018</v>
      </c>
      <c r="C16" s="43"/>
      <c r="D16" s="91" t="s">
        <v>111</v>
      </c>
      <c r="E16" s="127">
        <v>60.7</v>
      </c>
      <c r="F16" s="123">
        <v>33.69</v>
      </c>
      <c r="G16" s="173">
        <v>33.379999999999995</v>
      </c>
      <c r="H16" s="259">
        <v>127.77</v>
      </c>
      <c r="I16" s="221">
        <v>69.478750880488377</v>
      </c>
      <c r="J16" s="273">
        <v>34.739375440244189</v>
      </c>
      <c r="K16" s="203">
        <v>0.5</v>
      </c>
      <c r="L16" s="253">
        <v>4438.6499999999996</v>
      </c>
      <c r="M16" s="228">
        <v>36.988749999999996</v>
      </c>
      <c r="N16" s="233">
        <v>266807.25149999995</v>
      </c>
      <c r="O16" s="234">
        <v>7.6591963581573441E-2</v>
      </c>
      <c r="P16" s="237"/>
      <c r="Q16" s="127">
        <v>63.7</v>
      </c>
      <c r="R16" s="123">
        <v>19.239999999999998</v>
      </c>
      <c r="S16" s="128">
        <v>19.43</v>
      </c>
      <c r="T16" s="259">
        <f t="shared" si="1"/>
        <v>102.37</v>
      </c>
      <c r="U16" s="157">
        <v>30</v>
      </c>
      <c r="V16" s="97">
        <v>150</v>
      </c>
      <c r="W16" s="152">
        <v>60</v>
      </c>
      <c r="X16" s="99">
        <f t="shared" si="3"/>
        <v>1911</v>
      </c>
      <c r="Y16" s="100">
        <f t="shared" si="3"/>
        <v>2885.9999999999995</v>
      </c>
      <c r="Z16" s="188">
        <f t="shared" si="3"/>
        <v>1165.8</v>
      </c>
      <c r="AA16" s="150">
        <f t="shared" si="4"/>
        <v>5962.8</v>
      </c>
      <c r="AB16" s="101">
        <f t="shared" si="5"/>
        <v>49.690000000000005</v>
      </c>
      <c r="AC16" s="154">
        <v>858.9</v>
      </c>
      <c r="AD16" s="103">
        <v>2211.9</v>
      </c>
      <c r="AE16" s="104">
        <v>4142.3999999999996</v>
      </c>
      <c r="AF16" s="105">
        <f t="shared" si="6"/>
        <v>7213.2</v>
      </c>
      <c r="AG16" s="80">
        <v>120</v>
      </c>
      <c r="AH16" s="158" t="s">
        <v>60</v>
      </c>
      <c r="AI16" s="221">
        <f t="shared" si="7"/>
        <v>58.247533457067497</v>
      </c>
      <c r="AJ16" s="273">
        <f t="shared" si="8"/>
        <v>34.948520074240498</v>
      </c>
      <c r="AK16" s="404">
        <v>0.6</v>
      </c>
      <c r="AL16" s="253">
        <f t="shared" si="9"/>
        <v>3577.68</v>
      </c>
      <c r="AM16" s="228">
        <f t="shared" si="10"/>
        <v>29.814</v>
      </c>
      <c r="AN16" s="233">
        <f t="shared" si="11"/>
        <v>215054.34479999999</v>
      </c>
      <c r="AO16" s="234">
        <f t="shared" si="12"/>
        <v>7.1144604677216464E-2</v>
      </c>
      <c r="AP16" s="237"/>
      <c r="AQ16" s="381"/>
      <c r="AR16" s="381"/>
      <c r="AS16" s="436" t="s">
        <v>39</v>
      </c>
      <c r="AT16" s="433">
        <v>109</v>
      </c>
      <c r="AU16" s="434">
        <v>163</v>
      </c>
      <c r="AV16" s="435">
        <v>17</v>
      </c>
      <c r="AW16" s="431">
        <f t="shared" si="2"/>
        <v>289</v>
      </c>
      <c r="BC16" t="s">
        <v>195</v>
      </c>
      <c r="BD16">
        <f>BD14+BD15</f>
        <v>353.68</v>
      </c>
      <c r="BE16">
        <f t="shared" ref="BE16:BF16" si="16">BE14+BE15</f>
        <v>96.53</v>
      </c>
      <c r="BF16">
        <f t="shared" si="16"/>
        <v>23.6</v>
      </c>
      <c r="BG16" s="450">
        <f>SUM(BD16:BF16)</f>
        <v>473.81000000000006</v>
      </c>
    </row>
    <row r="17" spans="1:49" ht="14.15" customHeight="1" x14ac:dyDescent="0.35">
      <c r="A17" s="517"/>
      <c r="B17" s="74">
        <v>3019</v>
      </c>
      <c r="C17" s="44"/>
      <c r="D17" s="106" t="s">
        <v>112</v>
      </c>
      <c r="E17" s="359">
        <v>60.7</v>
      </c>
      <c r="F17" s="133">
        <v>33.69</v>
      </c>
      <c r="G17" s="134">
        <v>33.379999999999995</v>
      </c>
      <c r="H17" s="261">
        <v>127.77</v>
      </c>
      <c r="I17" s="225">
        <v>85.008217891523842</v>
      </c>
      <c r="J17" s="232">
        <v>17.001643578304769</v>
      </c>
      <c r="K17" s="204">
        <v>0.2</v>
      </c>
      <c r="L17" s="254">
        <v>2172.3000000000002</v>
      </c>
      <c r="M17" s="229">
        <v>37.453448275862073</v>
      </c>
      <c r="N17" s="243">
        <v>300415.60675862071</v>
      </c>
      <c r="O17" s="242">
        <v>8.6239864482066261E-2</v>
      </c>
      <c r="P17" s="239"/>
      <c r="Q17" s="359">
        <v>63.7</v>
      </c>
      <c r="R17" s="133">
        <v>19.239999999999998</v>
      </c>
      <c r="S17" s="134">
        <v>19.43</v>
      </c>
      <c r="T17" s="261">
        <f t="shared" si="1"/>
        <v>102.37</v>
      </c>
      <c r="U17" s="160">
        <v>30</v>
      </c>
      <c r="V17" s="136">
        <v>90</v>
      </c>
      <c r="W17" s="161">
        <v>180</v>
      </c>
      <c r="X17" s="83">
        <f t="shared" si="3"/>
        <v>1911</v>
      </c>
      <c r="Y17" s="197">
        <f t="shared" si="3"/>
        <v>1731.6</v>
      </c>
      <c r="Z17" s="199">
        <f t="shared" si="3"/>
        <v>3497.4</v>
      </c>
      <c r="AA17" s="177">
        <f t="shared" si="4"/>
        <v>7140</v>
      </c>
      <c r="AB17" s="85">
        <f t="shared" si="5"/>
        <v>123.10344827586206</v>
      </c>
      <c r="AC17" s="162">
        <v>1042.42</v>
      </c>
      <c r="AD17" s="108">
        <v>3352.46</v>
      </c>
      <c r="AE17" s="109">
        <v>3626.16</v>
      </c>
      <c r="AF17" s="110">
        <f t="shared" si="6"/>
        <v>8021.04</v>
      </c>
      <c r="AG17" s="135">
        <v>58</v>
      </c>
      <c r="AH17" s="161" t="s">
        <v>60</v>
      </c>
      <c r="AI17" s="225">
        <f t="shared" si="7"/>
        <v>69.746996190290119</v>
      </c>
      <c r="AJ17" s="232">
        <f t="shared" si="8"/>
        <v>17.43674904757253</v>
      </c>
      <c r="AK17" s="405">
        <v>0.25</v>
      </c>
      <c r="AL17" s="254">
        <f t="shared" si="9"/>
        <v>1785</v>
      </c>
      <c r="AM17" s="229">
        <f t="shared" si="10"/>
        <v>30.775862068965516</v>
      </c>
      <c r="AN17" s="243">
        <f t="shared" si="11"/>
        <v>246854.42068965515</v>
      </c>
      <c r="AO17" s="242">
        <f t="shared" si="12"/>
        <v>8.1664754037505047E-2</v>
      </c>
      <c r="AP17" s="239"/>
      <c r="AQ17" s="381"/>
      <c r="AR17" s="381"/>
      <c r="AS17" s="436" t="s">
        <v>42</v>
      </c>
      <c r="AT17" s="433">
        <v>17</v>
      </c>
      <c r="AU17" s="434"/>
      <c r="AV17" s="435"/>
      <c r="AW17" s="431">
        <f t="shared" si="2"/>
        <v>17</v>
      </c>
    </row>
    <row r="18" spans="1:49" ht="14.15" customHeight="1" x14ac:dyDescent="0.35">
      <c r="A18" s="525" t="s">
        <v>22</v>
      </c>
      <c r="B18" s="75">
        <v>1021</v>
      </c>
      <c r="C18" s="45"/>
      <c r="D18" s="76" t="s">
        <v>113</v>
      </c>
      <c r="E18" s="77">
        <v>2</v>
      </c>
      <c r="F18" s="78">
        <v>18.23</v>
      </c>
      <c r="G18" s="79">
        <v>10.199999999999999</v>
      </c>
      <c r="H18" s="259">
        <v>30.43</v>
      </c>
      <c r="I18" s="224">
        <v>10</v>
      </c>
      <c r="J18" s="277">
        <v>7.5</v>
      </c>
      <c r="K18" s="205">
        <v>0.75</v>
      </c>
      <c r="L18" s="266">
        <v>228.22500000000002</v>
      </c>
      <c r="M18" s="230">
        <v>15.215000000000002</v>
      </c>
      <c r="N18" s="244">
        <v>53352.766850000007</v>
      </c>
      <c r="O18" s="245">
        <v>1.5315899971149698E-2</v>
      </c>
      <c r="P18" s="236"/>
      <c r="Q18" s="77">
        <v>2.2999999999999998</v>
      </c>
      <c r="R18" s="78">
        <v>21.43</v>
      </c>
      <c r="S18" s="79">
        <v>4.5</v>
      </c>
      <c r="T18" s="259">
        <f t="shared" si="1"/>
        <v>28.23</v>
      </c>
      <c r="U18" s="80">
        <v>10</v>
      </c>
      <c r="V18" s="81">
        <v>10</v>
      </c>
      <c r="W18" s="82">
        <v>10</v>
      </c>
      <c r="X18" s="118">
        <f t="shared" si="3"/>
        <v>23</v>
      </c>
      <c r="Y18" s="119">
        <f t="shared" si="3"/>
        <v>214.3</v>
      </c>
      <c r="Z18" s="196">
        <f t="shared" si="3"/>
        <v>45</v>
      </c>
      <c r="AA18" s="84">
        <f t="shared" si="4"/>
        <v>282.3</v>
      </c>
      <c r="AB18" s="120">
        <f t="shared" si="5"/>
        <v>18.82</v>
      </c>
      <c r="AC18" s="86">
        <v>719.42</v>
      </c>
      <c r="AD18" s="87">
        <v>1810.17</v>
      </c>
      <c r="AE18" s="88">
        <v>977</v>
      </c>
      <c r="AF18" s="121">
        <f t="shared" si="6"/>
        <v>3506.59</v>
      </c>
      <c r="AG18" s="115">
        <v>15</v>
      </c>
      <c r="AH18" s="139" t="s">
        <v>3</v>
      </c>
      <c r="AI18" s="224">
        <f t="shared" si="7"/>
        <v>10</v>
      </c>
      <c r="AJ18" s="277">
        <f t="shared" si="8"/>
        <v>5</v>
      </c>
      <c r="AK18" s="406">
        <v>0.5</v>
      </c>
      <c r="AL18" s="266">
        <f t="shared" si="9"/>
        <v>141.15</v>
      </c>
      <c r="AM18" s="230">
        <f t="shared" si="10"/>
        <v>9.41</v>
      </c>
      <c r="AN18" s="244">
        <f t="shared" si="11"/>
        <v>32997.011900000005</v>
      </c>
      <c r="AO18" s="245">
        <f t="shared" si="12"/>
        <v>1.0916121547500619E-2</v>
      </c>
      <c r="AP18" s="236"/>
      <c r="AQ18" s="381"/>
      <c r="AR18" s="381"/>
      <c r="AS18" s="436" t="s">
        <v>196</v>
      </c>
      <c r="AT18" s="433">
        <v>7183</v>
      </c>
      <c r="AU18" s="434">
        <v>1771</v>
      </c>
      <c r="AV18" s="435">
        <v>495</v>
      </c>
      <c r="AW18" s="431">
        <f t="shared" si="2"/>
        <v>9449</v>
      </c>
    </row>
    <row r="19" spans="1:49" ht="14.15" customHeight="1" x14ac:dyDescent="0.35">
      <c r="A19" s="517"/>
      <c r="B19" s="73">
        <v>3022</v>
      </c>
      <c r="C19" s="43"/>
      <c r="D19" s="91" t="s">
        <v>114</v>
      </c>
      <c r="E19" s="77">
        <v>2</v>
      </c>
      <c r="F19" s="78">
        <v>18.23</v>
      </c>
      <c r="G19" s="79">
        <v>10.199999999999999</v>
      </c>
      <c r="H19" s="259">
        <v>30.43</v>
      </c>
      <c r="I19" s="221">
        <v>2</v>
      </c>
      <c r="J19" s="383">
        <v>1.5</v>
      </c>
      <c r="K19" s="203">
        <v>0.75</v>
      </c>
      <c r="L19" s="253">
        <v>45.644999999999996</v>
      </c>
      <c r="M19" s="104">
        <v>22.822499999999998</v>
      </c>
      <c r="N19" s="233">
        <v>72264.251099999994</v>
      </c>
      <c r="O19" s="384">
        <v>2.0744791820251105E-2</v>
      </c>
      <c r="P19" s="235">
        <v>305473.86629899999</v>
      </c>
      <c r="Q19" s="77">
        <v>2.2999999999999998</v>
      </c>
      <c r="R19" s="78">
        <v>21.43</v>
      </c>
      <c r="S19" s="79">
        <v>4.5</v>
      </c>
      <c r="T19" s="259">
        <f t="shared" si="1"/>
        <v>28.23</v>
      </c>
      <c r="U19" s="96">
        <v>2</v>
      </c>
      <c r="V19" s="97">
        <v>2</v>
      </c>
      <c r="W19" s="152">
        <v>2</v>
      </c>
      <c r="X19" s="278">
        <f t="shared" si="3"/>
        <v>4.5999999999999996</v>
      </c>
      <c r="Y19" s="100">
        <f t="shared" si="3"/>
        <v>42.86</v>
      </c>
      <c r="Z19" s="188">
        <f t="shared" si="3"/>
        <v>9</v>
      </c>
      <c r="AA19" s="150">
        <f t="shared" si="4"/>
        <v>56.46</v>
      </c>
      <c r="AB19" s="270">
        <f t="shared" si="5"/>
        <v>28.23</v>
      </c>
      <c r="AC19" s="154">
        <v>763.48</v>
      </c>
      <c r="AD19" s="103">
        <v>2342.88</v>
      </c>
      <c r="AE19" s="104">
        <v>60</v>
      </c>
      <c r="AF19" s="187">
        <f t="shared" si="6"/>
        <v>3166.36</v>
      </c>
      <c r="AG19" s="96">
        <v>2</v>
      </c>
      <c r="AH19" s="152" t="s">
        <v>63</v>
      </c>
      <c r="AI19" s="221">
        <f t="shared" si="7"/>
        <v>2</v>
      </c>
      <c r="AJ19" s="383">
        <f t="shared" si="8"/>
        <v>1.7</v>
      </c>
      <c r="AK19" s="404">
        <v>0.85</v>
      </c>
      <c r="AL19" s="253">
        <f t="shared" si="9"/>
        <v>47.991</v>
      </c>
      <c r="AM19" s="104">
        <f t="shared" si="10"/>
        <v>23.9955</v>
      </c>
      <c r="AN19" s="233">
        <f t="shared" si="11"/>
        <v>75978.391380000001</v>
      </c>
      <c r="AO19" s="384">
        <f t="shared" si="12"/>
        <v>2.5135286728422013E-2</v>
      </c>
      <c r="AP19" s="235">
        <f>SUM(AN18:AN21)</f>
        <v>478697.76443337504</v>
      </c>
      <c r="AQ19" s="381"/>
      <c r="AR19" s="381"/>
      <c r="AS19" s="436" t="s">
        <v>197</v>
      </c>
      <c r="AT19" s="433">
        <v>1.9</v>
      </c>
      <c r="AU19" s="434">
        <v>0.2</v>
      </c>
      <c r="AV19" s="435"/>
      <c r="AW19" s="431">
        <f t="shared" si="2"/>
        <v>2.1</v>
      </c>
    </row>
    <row r="20" spans="1:49" ht="14.15" customHeight="1" x14ac:dyDescent="0.35">
      <c r="A20" s="517"/>
      <c r="B20" s="73">
        <v>3023</v>
      </c>
      <c r="C20" s="43"/>
      <c r="D20" s="91" t="s">
        <v>115</v>
      </c>
      <c r="E20" s="92">
        <v>18</v>
      </c>
      <c r="F20" s="93">
        <v>164.07</v>
      </c>
      <c r="G20" s="94">
        <v>91.8</v>
      </c>
      <c r="H20" s="260">
        <v>273.87</v>
      </c>
      <c r="I20" s="221">
        <v>0.48496549457771931</v>
      </c>
      <c r="J20" s="383">
        <v>3.8797239566217549E-2</v>
      </c>
      <c r="K20" s="203">
        <v>0.08</v>
      </c>
      <c r="L20" s="253">
        <v>10.625399999999999</v>
      </c>
      <c r="M20" s="104">
        <v>5.3126999999999995</v>
      </c>
      <c r="N20" s="233">
        <v>106000.956099</v>
      </c>
      <c r="O20" s="384">
        <v>3.0429537891126526E-2</v>
      </c>
      <c r="P20" s="238">
        <v>8.7691931576662732E-2</v>
      </c>
      <c r="Q20" s="92">
        <f>2.3*9</f>
        <v>20.7</v>
      </c>
      <c r="R20" s="93">
        <f>21.43*9</f>
        <v>192.87</v>
      </c>
      <c r="S20" s="94">
        <f>4.5*9</f>
        <v>40.5</v>
      </c>
      <c r="T20" s="260">
        <f t="shared" si="1"/>
        <v>254.07</v>
      </c>
      <c r="U20" s="96" t="s">
        <v>2</v>
      </c>
      <c r="V20" s="97">
        <v>0.25</v>
      </c>
      <c r="W20" s="98">
        <v>1</v>
      </c>
      <c r="X20" s="99"/>
      <c r="Y20" s="100">
        <f t="shared" si="3"/>
        <v>48.217500000000001</v>
      </c>
      <c r="Z20" s="188">
        <f t="shared" si="3"/>
        <v>40.5</v>
      </c>
      <c r="AA20" s="150">
        <f t="shared" si="4"/>
        <v>88.717500000000001</v>
      </c>
      <c r="AB20" s="101">
        <f t="shared" si="5"/>
        <v>44.358750000000001</v>
      </c>
      <c r="AC20" s="154">
        <v>1543.45</v>
      </c>
      <c r="AD20" s="103">
        <v>7988.92</v>
      </c>
      <c r="AE20" s="104">
        <v>10420</v>
      </c>
      <c r="AF20" s="187">
        <f t="shared" si="6"/>
        <v>19952.370000000003</v>
      </c>
      <c r="AG20" s="96">
        <v>2</v>
      </c>
      <c r="AH20" s="152" t="s">
        <v>61</v>
      </c>
      <c r="AI20" s="221">
        <f t="shared" si="7"/>
        <v>0.34918526390364862</v>
      </c>
      <c r="AJ20" s="383">
        <f t="shared" si="8"/>
        <v>0.11523113708820405</v>
      </c>
      <c r="AK20" s="404">
        <v>0.33</v>
      </c>
      <c r="AL20" s="253">
        <f t="shared" si="9"/>
        <v>29.276775000000001</v>
      </c>
      <c r="AM20" s="104">
        <f t="shared" si="10"/>
        <v>14.6383875</v>
      </c>
      <c r="AN20" s="233">
        <f t="shared" si="11"/>
        <v>292070.52360337507</v>
      </c>
      <c r="AO20" s="384">
        <f t="shared" si="12"/>
        <v>9.6623213815811917E-2</v>
      </c>
      <c r="AP20" s="238">
        <f>SUM(AO18:AO21)</f>
        <v>0.1583635208214578</v>
      </c>
      <c r="AQ20" s="381"/>
      <c r="AR20" s="381"/>
      <c r="AS20" s="436" t="s">
        <v>198</v>
      </c>
      <c r="AT20" s="433">
        <v>24.5</v>
      </c>
      <c r="AU20" s="434"/>
      <c r="AV20" s="435"/>
      <c r="AW20" s="431">
        <f t="shared" si="2"/>
        <v>24.5</v>
      </c>
    </row>
    <row r="21" spans="1:49" ht="14.15" customHeight="1" x14ac:dyDescent="0.35">
      <c r="A21" s="526"/>
      <c r="B21" s="74">
        <v>3024</v>
      </c>
      <c r="C21" s="44"/>
      <c r="D21" s="106" t="s">
        <v>116</v>
      </c>
      <c r="E21" s="132">
        <v>2</v>
      </c>
      <c r="F21" s="123">
        <v>18.23</v>
      </c>
      <c r="G21" s="124">
        <v>10.199999999999999</v>
      </c>
      <c r="H21" s="261">
        <v>30.43</v>
      </c>
      <c r="I21" s="222">
        <v>2</v>
      </c>
      <c r="J21" s="385">
        <v>1.5</v>
      </c>
      <c r="K21" s="204">
        <v>0.75</v>
      </c>
      <c r="L21" s="254">
        <v>45.644999999999996</v>
      </c>
      <c r="M21" s="386">
        <v>22.822499999999998</v>
      </c>
      <c r="N21" s="241">
        <v>73855.892250000004</v>
      </c>
      <c r="O21" s="387">
        <v>2.1201701894135411E-2</v>
      </c>
      <c r="P21" s="239"/>
      <c r="Q21" s="132">
        <v>2.2999999999999998</v>
      </c>
      <c r="R21" s="78">
        <v>21.43</v>
      </c>
      <c r="S21" s="79">
        <v>4.5</v>
      </c>
      <c r="T21" s="261">
        <f t="shared" si="1"/>
        <v>28.23</v>
      </c>
      <c r="U21" s="163">
        <v>2</v>
      </c>
      <c r="V21" s="164">
        <v>2</v>
      </c>
      <c r="W21" s="165">
        <v>2</v>
      </c>
      <c r="X21" s="83">
        <f t="shared" si="3"/>
        <v>4.5999999999999996</v>
      </c>
      <c r="Y21" s="197">
        <f t="shared" si="3"/>
        <v>42.86</v>
      </c>
      <c r="Z21" s="199">
        <f t="shared" si="3"/>
        <v>9</v>
      </c>
      <c r="AA21" s="177">
        <f t="shared" si="4"/>
        <v>56.46</v>
      </c>
      <c r="AB21" s="85">
        <f t="shared" si="5"/>
        <v>28.23</v>
      </c>
      <c r="AC21" s="107">
        <v>833.22</v>
      </c>
      <c r="AD21" s="108">
        <v>2342.88</v>
      </c>
      <c r="AE21" s="109">
        <v>60</v>
      </c>
      <c r="AF21" s="110">
        <f t="shared" si="6"/>
        <v>3236.1000000000004</v>
      </c>
      <c r="AG21" s="163">
        <v>2</v>
      </c>
      <c r="AH21" s="169" t="s">
        <v>63</v>
      </c>
      <c r="AI21" s="222">
        <f t="shared" si="7"/>
        <v>2</v>
      </c>
      <c r="AJ21" s="385">
        <f t="shared" si="8"/>
        <v>1.7</v>
      </c>
      <c r="AK21" s="405">
        <v>0.85</v>
      </c>
      <c r="AL21" s="254">
        <f t="shared" si="9"/>
        <v>47.991</v>
      </c>
      <c r="AM21" s="386">
        <f t="shared" si="10"/>
        <v>23.9955</v>
      </c>
      <c r="AN21" s="241">
        <f t="shared" si="11"/>
        <v>77651.837550000011</v>
      </c>
      <c r="AO21" s="387">
        <f t="shared" si="12"/>
        <v>2.5688898729723242E-2</v>
      </c>
      <c r="AP21" s="239"/>
      <c r="AQ21" s="381"/>
      <c r="AR21" s="381"/>
      <c r="AS21" s="381"/>
    </row>
    <row r="22" spans="1:49" ht="14.15" customHeight="1" x14ac:dyDescent="0.35">
      <c r="A22" s="514" t="s">
        <v>28</v>
      </c>
      <c r="B22" s="140">
        <v>1041</v>
      </c>
      <c r="C22" s="42"/>
      <c r="D22" s="141" t="s">
        <v>117</v>
      </c>
      <c r="E22" s="360">
        <v>21.54</v>
      </c>
      <c r="F22" s="181">
        <v>113.9</v>
      </c>
      <c r="G22" s="182">
        <v>15.599999999999998</v>
      </c>
      <c r="H22" s="259">
        <v>151.04</v>
      </c>
      <c r="I22" s="226">
        <v>4</v>
      </c>
      <c r="J22" s="277">
        <v>0.996</v>
      </c>
      <c r="K22" s="205">
        <v>0.249</v>
      </c>
      <c r="L22" s="266">
        <v>150.43583999999998</v>
      </c>
      <c r="M22" s="230">
        <v>188.04479999999998</v>
      </c>
      <c r="N22" s="246">
        <v>194616.96575999999</v>
      </c>
      <c r="O22" s="245">
        <v>5.5868404887961777E-2</v>
      </c>
      <c r="P22" s="236"/>
      <c r="Q22" s="360">
        <v>43.64</v>
      </c>
      <c r="R22" s="181">
        <v>109.6</v>
      </c>
      <c r="S22" s="182">
        <v>8.6</v>
      </c>
      <c r="T22" s="259">
        <f t="shared" si="1"/>
        <v>161.84</v>
      </c>
      <c r="U22" s="96">
        <v>4</v>
      </c>
      <c r="V22" s="97">
        <v>4</v>
      </c>
      <c r="W22" s="98">
        <v>4</v>
      </c>
      <c r="X22" s="183">
        <f t="shared" si="3"/>
        <v>174.56</v>
      </c>
      <c r="Y22" s="184">
        <f t="shared" si="3"/>
        <v>438.4</v>
      </c>
      <c r="Z22" s="194">
        <f t="shared" si="3"/>
        <v>34.4</v>
      </c>
      <c r="AA22" s="190">
        <f t="shared" si="4"/>
        <v>647.36</v>
      </c>
      <c r="AB22" s="126">
        <f t="shared" si="5"/>
        <v>809.19999999999993</v>
      </c>
      <c r="AC22" s="170">
        <v>559.75</v>
      </c>
      <c r="AD22" s="90">
        <v>475.2</v>
      </c>
      <c r="AE22" s="88"/>
      <c r="AF22" s="121">
        <f t="shared" si="6"/>
        <v>1034.95</v>
      </c>
      <c r="AG22" s="144">
        <v>0.8</v>
      </c>
      <c r="AH22" s="171" t="s">
        <v>63</v>
      </c>
      <c r="AI22" s="226">
        <f t="shared" si="7"/>
        <v>4</v>
      </c>
      <c r="AJ22" s="277">
        <f t="shared" si="8"/>
        <v>1.2</v>
      </c>
      <c r="AK22" s="406">
        <v>0.3</v>
      </c>
      <c r="AL22" s="266">
        <f t="shared" si="9"/>
        <v>194.208</v>
      </c>
      <c r="AM22" s="230">
        <f t="shared" si="10"/>
        <v>242.76</v>
      </c>
      <c r="AN22" s="246">
        <f t="shared" si="11"/>
        <v>251244.462</v>
      </c>
      <c r="AO22" s="245">
        <f t="shared" si="12"/>
        <v>8.311707416538526E-2</v>
      </c>
      <c r="AP22" s="236"/>
      <c r="AQ22" s="381"/>
      <c r="AR22" s="381"/>
      <c r="AS22" s="381"/>
    </row>
    <row r="23" spans="1:49" ht="14.15" customHeight="1" x14ac:dyDescent="0.35">
      <c r="A23" s="515"/>
      <c r="B23" s="73">
        <v>1042</v>
      </c>
      <c r="C23" s="43"/>
      <c r="D23" s="91" t="s">
        <v>118</v>
      </c>
      <c r="E23" s="172">
        <v>32.31</v>
      </c>
      <c r="F23" s="123">
        <v>170.85000000000002</v>
      </c>
      <c r="G23" s="173">
        <v>23.4</v>
      </c>
      <c r="H23" s="95">
        <v>226.56000000000003</v>
      </c>
      <c r="I23" s="221">
        <v>24</v>
      </c>
      <c r="J23" s="274"/>
      <c r="K23" s="203" t="s">
        <v>2</v>
      </c>
      <c r="L23" s="253"/>
      <c r="M23" s="228"/>
      <c r="N23" s="233"/>
      <c r="O23" s="234"/>
      <c r="P23" s="237"/>
      <c r="Q23" s="172"/>
      <c r="R23" s="123"/>
      <c r="S23" s="173"/>
      <c r="T23" s="95"/>
      <c r="U23" s="96">
        <v>24</v>
      </c>
      <c r="V23" s="97">
        <v>24</v>
      </c>
      <c r="W23" s="130">
        <v>24</v>
      </c>
      <c r="X23" s="99">
        <f t="shared" si="3"/>
        <v>0</v>
      </c>
      <c r="Y23" s="100">
        <f t="shared" si="3"/>
        <v>0</v>
      </c>
      <c r="Z23" s="188">
        <f t="shared" si="3"/>
        <v>0</v>
      </c>
      <c r="AA23" s="150">
        <f t="shared" si="4"/>
        <v>0</v>
      </c>
      <c r="AB23" s="101">
        <f t="shared" si="5"/>
        <v>0</v>
      </c>
      <c r="AC23" s="154">
        <v>398.25</v>
      </c>
      <c r="AD23" s="103">
        <v>185.75</v>
      </c>
      <c r="AE23" s="104"/>
      <c r="AF23" s="105">
        <f t="shared" si="6"/>
        <v>584</v>
      </c>
      <c r="AG23" s="96">
        <v>4.5</v>
      </c>
      <c r="AH23" s="152" t="s">
        <v>61</v>
      </c>
      <c r="AI23" s="221"/>
      <c r="AJ23" s="274"/>
      <c r="AK23" s="404" t="s">
        <v>2</v>
      </c>
      <c r="AL23" s="253"/>
      <c r="AM23" s="228"/>
      <c r="AN23" s="233"/>
      <c r="AO23" s="234"/>
      <c r="AP23" s="237"/>
      <c r="AQ23" s="381"/>
      <c r="AR23" s="381"/>
      <c r="AS23" s="378" t="s">
        <v>199</v>
      </c>
      <c r="AV23" t="s">
        <v>200</v>
      </c>
    </row>
    <row r="24" spans="1:49" ht="14.15" customHeight="1" x14ac:dyDescent="0.35">
      <c r="A24" s="515"/>
      <c r="B24" s="73">
        <v>1043</v>
      </c>
      <c r="C24" s="43"/>
      <c r="D24" s="91" t="s">
        <v>119</v>
      </c>
      <c r="E24" s="92">
        <v>0</v>
      </c>
      <c r="F24" s="93">
        <v>0</v>
      </c>
      <c r="G24" s="94">
        <v>0</v>
      </c>
      <c r="H24" s="174"/>
      <c r="I24" s="221"/>
      <c r="J24" s="274"/>
      <c r="K24" s="203" t="s">
        <v>2</v>
      </c>
      <c r="L24" s="253"/>
      <c r="M24" s="228"/>
      <c r="N24" s="233"/>
      <c r="O24" s="234"/>
      <c r="P24" s="235">
        <v>281270.88660999999</v>
      </c>
      <c r="Q24" s="92">
        <v>0</v>
      </c>
      <c r="R24" s="93">
        <v>0</v>
      </c>
      <c r="S24" s="94">
        <v>0</v>
      </c>
      <c r="T24" s="174"/>
      <c r="U24" s="96">
        <v>4</v>
      </c>
      <c r="V24" s="97">
        <v>4</v>
      </c>
      <c r="W24" s="130">
        <v>4</v>
      </c>
      <c r="X24" s="99">
        <f t="shared" si="3"/>
        <v>0</v>
      </c>
      <c r="Y24" s="100">
        <f t="shared" si="3"/>
        <v>0</v>
      </c>
      <c r="Z24" s="188">
        <f t="shared" si="3"/>
        <v>0</v>
      </c>
      <c r="AA24" s="150"/>
      <c r="AB24" s="101"/>
      <c r="AC24" s="154">
        <v>699.23</v>
      </c>
      <c r="AD24" s="103">
        <v>559.79999999999995</v>
      </c>
      <c r="AE24" s="104"/>
      <c r="AF24" s="89">
        <f t="shared" si="6"/>
        <v>1259.03</v>
      </c>
      <c r="AG24" s="96">
        <v>0.8</v>
      </c>
      <c r="AH24" s="152" t="s">
        <v>63</v>
      </c>
      <c r="AI24" s="221"/>
      <c r="AJ24" s="274"/>
      <c r="AK24" s="404" t="s">
        <v>2</v>
      </c>
      <c r="AL24" s="253"/>
      <c r="AM24" s="228"/>
      <c r="AN24" s="233"/>
      <c r="AO24" s="234"/>
      <c r="AP24" s="235">
        <f>SUM(AN22:AN26)</f>
        <v>342882.27444999997</v>
      </c>
      <c r="AQ24" s="381"/>
      <c r="AR24" s="381"/>
      <c r="AS24" s="378" t="s">
        <v>201</v>
      </c>
      <c r="AT24" s="438">
        <v>0.83219763082262266</v>
      </c>
      <c r="AV24" t="s">
        <v>201</v>
      </c>
      <c r="AW24" s="437">
        <v>0.80054179137984005</v>
      </c>
    </row>
    <row r="25" spans="1:49" ht="14.15" customHeight="1" x14ac:dyDescent="0.35">
      <c r="A25" s="515"/>
      <c r="B25" s="73">
        <v>4044</v>
      </c>
      <c r="C25" s="43"/>
      <c r="D25" s="91" t="s">
        <v>120</v>
      </c>
      <c r="E25" s="92">
        <v>4.46</v>
      </c>
      <c r="F25" s="93">
        <v>83.26</v>
      </c>
      <c r="G25" s="94">
        <v>0</v>
      </c>
      <c r="H25" s="262">
        <v>87.72</v>
      </c>
      <c r="I25" s="221">
        <v>1</v>
      </c>
      <c r="J25" s="388">
        <v>1</v>
      </c>
      <c r="K25" s="203">
        <v>1</v>
      </c>
      <c r="L25" s="253">
        <v>87.72</v>
      </c>
      <c r="M25" s="104">
        <v>21.93</v>
      </c>
      <c r="N25" s="233">
        <v>26339.465099999998</v>
      </c>
      <c r="O25" s="384">
        <v>7.5612313396861515E-3</v>
      </c>
      <c r="P25" s="238">
        <v>8.0744017948065377E-2</v>
      </c>
      <c r="Q25" s="92">
        <v>9.26</v>
      </c>
      <c r="R25" s="93">
        <v>47.2</v>
      </c>
      <c r="S25" s="94">
        <v>0</v>
      </c>
      <c r="T25" s="262">
        <f t="shared" ref="T25:T33" si="17">SUM(Q25:S25)</f>
        <v>56.46</v>
      </c>
      <c r="U25" s="96">
        <v>1</v>
      </c>
      <c r="V25" s="97">
        <v>1</v>
      </c>
      <c r="W25" s="130">
        <v>1</v>
      </c>
      <c r="X25" s="99">
        <f t="shared" si="3"/>
        <v>9.26</v>
      </c>
      <c r="Y25" s="100">
        <f t="shared" si="3"/>
        <v>47.2</v>
      </c>
      <c r="Z25" s="188">
        <f t="shared" si="3"/>
        <v>0</v>
      </c>
      <c r="AA25" s="150">
        <f t="shared" si="4"/>
        <v>56.46</v>
      </c>
      <c r="AB25" s="101">
        <f t="shared" si="5"/>
        <v>14.115</v>
      </c>
      <c r="AC25" s="154">
        <v>326.68</v>
      </c>
      <c r="AD25" s="103">
        <v>874.39</v>
      </c>
      <c r="AE25" s="104"/>
      <c r="AF25" s="89">
        <f t="shared" si="6"/>
        <v>1201.07</v>
      </c>
      <c r="AG25" s="96">
        <v>4</v>
      </c>
      <c r="AH25" s="152" t="s">
        <v>63</v>
      </c>
      <c r="AI25" s="221">
        <f t="shared" si="7"/>
        <v>1</v>
      </c>
      <c r="AJ25" s="388">
        <f t="shared" si="8"/>
        <v>1</v>
      </c>
      <c r="AK25" s="404">
        <v>1</v>
      </c>
      <c r="AL25" s="253">
        <f t="shared" si="9"/>
        <v>56.46</v>
      </c>
      <c r="AM25" s="104">
        <f t="shared" si="10"/>
        <v>14.115</v>
      </c>
      <c r="AN25" s="233">
        <f t="shared" si="11"/>
        <v>16953.103049999998</v>
      </c>
      <c r="AO25" s="384">
        <f t="shared" si="12"/>
        <v>5.6084512761927826E-3</v>
      </c>
      <c r="AP25" s="238">
        <f>SUM(AO22:AO26)</f>
        <v>0.11343283433430121</v>
      </c>
      <c r="AQ25" s="381"/>
      <c r="AR25" s="381"/>
      <c r="AS25" t="s">
        <v>184</v>
      </c>
      <c r="AT25" s="437">
        <v>0.13290084835541377</v>
      </c>
      <c r="AU25"/>
      <c r="AV25" t="s">
        <v>184</v>
      </c>
      <c r="AW25" s="437">
        <v>0.14515395542681675</v>
      </c>
    </row>
    <row r="26" spans="1:49" ht="14.15" customHeight="1" x14ac:dyDescent="0.35">
      <c r="A26" s="515"/>
      <c r="B26" s="74">
        <v>4045</v>
      </c>
      <c r="C26" s="44"/>
      <c r="D26" s="106" t="s">
        <v>121</v>
      </c>
      <c r="E26" s="92">
        <v>13.4</v>
      </c>
      <c r="F26" s="93">
        <v>102.1</v>
      </c>
      <c r="G26" s="94">
        <v>15.2</v>
      </c>
      <c r="H26" s="261">
        <v>130.69999999999999</v>
      </c>
      <c r="I26" s="222">
        <v>1</v>
      </c>
      <c r="J26" s="385">
        <v>0.25</v>
      </c>
      <c r="K26" s="204">
        <v>0.25</v>
      </c>
      <c r="L26" s="267">
        <v>32.674999999999997</v>
      </c>
      <c r="M26" s="109">
        <v>32.674999999999997</v>
      </c>
      <c r="N26" s="241">
        <v>60314.455750000001</v>
      </c>
      <c r="O26" s="387">
        <v>1.7314381720417459E-2</v>
      </c>
      <c r="P26" s="239"/>
      <c r="Q26" s="92">
        <v>43.64</v>
      </c>
      <c r="R26" s="93">
        <v>109.6</v>
      </c>
      <c r="S26" s="94">
        <v>8.6</v>
      </c>
      <c r="T26" s="261">
        <f t="shared" si="17"/>
        <v>161.84</v>
      </c>
      <c r="U26" s="80">
        <v>1</v>
      </c>
      <c r="V26" s="81">
        <v>1</v>
      </c>
      <c r="W26" s="82">
        <v>1</v>
      </c>
      <c r="X26" s="83">
        <f t="shared" si="3"/>
        <v>43.64</v>
      </c>
      <c r="Y26" s="197">
        <f t="shared" si="3"/>
        <v>109.6</v>
      </c>
      <c r="Z26" s="199">
        <f t="shared" si="3"/>
        <v>8.6</v>
      </c>
      <c r="AA26" s="177">
        <f t="shared" si="4"/>
        <v>161.84</v>
      </c>
      <c r="AB26" s="85">
        <f t="shared" si="5"/>
        <v>161.84</v>
      </c>
      <c r="AC26" s="107">
        <v>488.18</v>
      </c>
      <c r="AD26" s="108">
        <v>1357.71</v>
      </c>
      <c r="AE26" s="109"/>
      <c r="AF26" s="189">
        <f t="shared" si="6"/>
        <v>1845.89</v>
      </c>
      <c r="AG26" s="163">
        <v>1</v>
      </c>
      <c r="AH26" s="169" t="s">
        <v>63</v>
      </c>
      <c r="AI26" s="222">
        <f t="shared" si="7"/>
        <v>1</v>
      </c>
      <c r="AJ26" s="385">
        <f t="shared" si="8"/>
        <v>0.25</v>
      </c>
      <c r="AK26" s="405">
        <v>0.25</v>
      </c>
      <c r="AL26" s="267">
        <f t="shared" si="9"/>
        <v>40.46</v>
      </c>
      <c r="AM26" s="109">
        <f t="shared" si="10"/>
        <v>40.46</v>
      </c>
      <c r="AN26" s="241">
        <f t="shared" si="11"/>
        <v>74684.709400000007</v>
      </c>
      <c r="AO26" s="387">
        <f t="shared" si="12"/>
        <v>2.4707308892723163E-2</v>
      </c>
      <c r="AP26" s="239"/>
      <c r="AQ26" s="381"/>
      <c r="AR26" s="381"/>
      <c r="AS26" t="s">
        <v>185</v>
      </c>
      <c r="AT26" s="437">
        <v>3.4901520821963634E-2</v>
      </c>
      <c r="AU26"/>
      <c r="AV26" t="s">
        <v>185</v>
      </c>
      <c r="AW26" s="437">
        <v>5.4304253193343241E-2</v>
      </c>
    </row>
    <row r="27" spans="1:49" ht="14.15" customHeight="1" x14ac:dyDescent="0.35">
      <c r="A27" s="514" t="s">
        <v>34</v>
      </c>
      <c r="B27" s="75">
        <v>1031</v>
      </c>
      <c r="C27" s="45"/>
      <c r="D27" s="76" t="s">
        <v>122</v>
      </c>
      <c r="E27" s="175">
        <v>85.580000000000013</v>
      </c>
      <c r="F27" s="112">
        <v>78.900000000000006</v>
      </c>
      <c r="G27" s="142">
        <v>16.7</v>
      </c>
      <c r="H27" s="143">
        <v>181.18</v>
      </c>
      <c r="I27" s="226">
        <v>3.594436472016779</v>
      </c>
      <c r="J27" s="389">
        <v>2.5161055304117452</v>
      </c>
      <c r="K27" s="202">
        <v>0.7</v>
      </c>
      <c r="L27" s="257">
        <v>455.86799999999999</v>
      </c>
      <c r="M27" s="88">
        <v>45.586799999999997</v>
      </c>
      <c r="N27" s="246">
        <v>98260.068060000005</v>
      </c>
      <c r="O27" s="390">
        <v>2.8207372595997263E-2</v>
      </c>
      <c r="P27" s="236"/>
      <c r="Q27" s="175">
        <v>150.84</v>
      </c>
      <c r="R27" s="112">
        <v>42.6</v>
      </c>
      <c r="S27" s="142">
        <v>11.3</v>
      </c>
      <c r="T27" s="143">
        <f t="shared" si="17"/>
        <v>204.74</v>
      </c>
      <c r="U27" s="115">
        <v>3</v>
      </c>
      <c r="V27" s="116">
        <v>5</v>
      </c>
      <c r="W27" s="117" t="s">
        <v>2</v>
      </c>
      <c r="X27" s="183">
        <f>Q27*U27</f>
        <v>452.52</v>
      </c>
      <c r="Y27" s="184">
        <f t="shared" si="3"/>
        <v>213</v>
      </c>
      <c r="Z27" s="194"/>
      <c r="AA27" s="190">
        <f t="shared" si="4"/>
        <v>665.52</v>
      </c>
      <c r="AB27" s="126">
        <f t="shared" si="5"/>
        <v>66.551999999999992</v>
      </c>
      <c r="AC27" s="147">
        <v>557.91999999999996</v>
      </c>
      <c r="AD27" s="90">
        <v>1387.63</v>
      </c>
      <c r="AE27" s="148">
        <v>209.9</v>
      </c>
      <c r="AF27" s="121">
        <f t="shared" si="6"/>
        <v>2155.4500000000003</v>
      </c>
      <c r="AG27" s="115">
        <v>10</v>
      </c>
      <c r="AH27" s="139" t="s">
        <v>3</v>
      </c>
      <c r="AI27" s="226">
        <f t="shared" si="7"/>
        <v>3.2505616879945296</v>
      </c>
      <c r="AJ27" s="389">
        <f t="shared" si="8"/>
        <v>2.2753931815961708</v>
      </c>
      <c r="AK27" s="403">
        <v>0.7</v>
      </c>
      <c r="AL27" s="257">
        <f>AK27*AA27</f>
        <v>465.86399999999998</v>
      </c>
      <c r="AM27" s="88">
        <f t="shared" si="10"/>
        <v>46.586399999999998</v>
      </c>
      <c r="AN27" s="246">
        <f t="shared" si="11"/>
        <v>100414.65588000001</v>
      </c>
      <c r="AO27" s="390">
        <f t="shared" si="12"/>
        <v>3.321932883069717E-2</v>
      </c>
      <c r="AP27" s="236"/>
      <c r="AQ27" s="381"/>
      <c r="AR27" s="381"/>
      <c r="AS27"/>
      <c r="AT27" s="437"/>
      <c r="AU27"/>
    </row>
    <row r="28" spans="1:49" ht="14.15" customHeight="1" x14ac:dyDescent="0.35">
      <c r="A28" s="515"/>
      <c r="B28" s="73">
        <v>1032</v>
      </c>
      <c r="C28" s="43"/>
      <c r="D28" s="91" t="s">
        <v>123</v>
      </c>
      <c r="E28" s="332">
        <v>211.13000000000002</v>
      </c>
      <c r="F28" s="155">
        <v>316.69499999999999</v>
      </c>
      <c r="G28" s="156">
        <v>14.5</v>
      </c>
      <c r="H28" s="95">
        <v>542.32500000000005</v>
      </c>
      <c r="I28" s="221">
        <v>12</v>
      </c>
      <c r="J28" s="227">
        <v>12</v>
      </c>
      <c r="K28" s="203">
        <v>1</v>
      </c>
      <c r="L28" s="253">
        <v>6507.9000000000005</v>
      </c>
      <c r="M28" s="228">
        <v>542.32500000000005</v>
      </c>
      <c r="N28" s="233">
        <v>486644.49225000007</v>
      </c>
      <c r="O28" s="234">
        <v>0.13970031555752266</v>
      </c>
      <c r="P28" s="235">
        <v>686047.64745075011</v>
      </c>
      <c r="Q28" s="176">
        <v>353.68</v>
      </c>
      <c r="R28" s="155">
        <v>96.53</v>
      </c>
      <c r="S28" s="156">
        <v>23.6</v>
      </c>
      <c r="T28" s="95">
        <f>SUM(Q28:S28)</f>
        <v>473.81000000000006</v>
      </c>
      <c r="U28" s="96">
        <v>12</v>
      </c>
      <c r="V28" s="97">
        <v>12</v>
      </c>
      <c r="W28" s="98">
        <v>12</v>
      </c>
      <c r="X28" s="99">
        <f t="shared" si="3"/>
        <v>4244.16</v>
      </c>
      <c r="Y28" s="100">
        <f t="shared" si="3"/>
        <v>1158.3600000000001</v>
      </c>
      <c r="Z28" s="188">
        <f t="shared" si="3"/>
        <v>283.20000000000005</v>
      </c>
      <c r="AA28" s="150">
        <f t="shared" si="4"/>
        <v>5685.72</v>
      </c>
      <c r="AB28" s="101">
        <f t="shared" si="5"/>
        <v>473.81</v>
      </c>
      <c r="AC28" s="154">
        <v>607.47</v>
      </c>
      <c r="AD28" s="103">
        <v>289.86</v>
      </c>
      <c r="AE28" s="104"/>
      <c r="AF28" s="187">
        <f t="shared" si="6"/>
        <v>897.33</v>
      </c>
      <c r="AG28" s="96">
        <v>12</v>
      </c>
      <c r="AH28" s="152" t="s">
        <v>61</v>
      </c>
      <c r="AI28" s="221">
        <f t="shared" si="7"/>
        <v>11.999999999999998</v>
      </c>
      <c r="AJ28" s="227">
        <f t="shared" si="8"/>
        <v>11.999999999999998</v>
      </c>
      <c r="AK28" s="404">
        <v>1</v>
      </c>
      <c r="AL28" s="253">
        <f t="shared" si="9"/>
        <v>5685.72</v>
      </c>
      <c r="AM28" s="228">
        <f t="shared" si="10"/>
        <v>473.81</v>
      </c>
      <c r="AN28" s="233">
        <f t="shared" si="11"/>
        <v>425163.92730000004</v>
      </c>
      <c r="AO28" s="234">
        <f t="shared" si="12"/>
        <v>0.14065337558700328</v>
      </c>
      <c r="AP28" s="235">
        <f>SUM(AN27:AN30)</f>
        <v>595510.74905674078</v>
      </c>
      <c r="AQ28" s="381"/>
      <c r="AR28" s="381"/>
    </row>
    <row r="29" spans="1:49" ht="14.15" customHeight="1" x14ac:dyDescent="0.35">
      <c r="A29" s="515"/>
      <c r="B29" s="73">
        <v>4033</v>
      </c>
      <c r="C29" s="43"/>
      <c r="D29" s="91" t="s">
        <v>124</v>
      </c>
      <c r="E29" s="332">
        <v>211.13000000000002</v>
      </c>
      <c r="F29" s="155">
        <v>316.69499999999999</v>
      </c>
      <c r="G29" s="156">
        <v>14.5</v>
      </c>
      <c r="H29" s="95">
        <v>542.32500000000005</v>
      </c>
      <c r="I29" s="221">
        <v>0.58395795878854928</v>
      </c>
      <c r="J29" s="273">
        <v>8.7593693818282387E-2</v>
      </c>
      <c r="K29" s="203">
        <v>0.15</v>
      </c>
      <c r="L29" s="253">
        <v>47.504249999999999</v>
      </c>
      <c r="M29" s="228">
        <v>15.83475</v>
      </c>
      <c r="N29" s="233">
        <v>38290.16732249999</v>
      </c>
      <c r="O29" s="234">
        <v>1.0991901774068811E-2</v>
      </c>
      <c r="P29" s="238">
        <v>0.19694268477846072</v>
      </c>
      <c r="Q29" s="176">
        <v>353.68</v>
      </c>
      <c r="R29" s="155">
        <v>96.53</v>
      </c>
      <c r="S29" s="156">
        <v>23.6</v>
      </c>
      <c r="T29" s="95">
        <f t="shared" si="17"/>
        <v>473.81000000000006</v>
      </c>
      <c r="U29" s="80" t="s">
        <v>2</v>
      </c>
      <c r="V29" s="81">
        <v>1</v>
      </c>
      <c r="W29" s="82" t="s">
        <v>2</v>
      </c>
      <c r="X29" s="99"/>
      <c r="Y29" s="100">
        <f t="shared" si="3"/>
        <v>96.53</v>
      </c>
      <c r="Z29" s="188"/>
      <c r="AA29" s="150">
        <f t="shared" si="4"/>
        <v>96.53</v>
      </c>
      <c r="AB29" s="101">
        <f t="shared" si="5"/>
        <v>32.176666666666669</v>
      </c>
      <c r="AC29" s="154">
        <v>765.31</v>
      </c>
      <c r="AD29" s="103">
        <v>1652.8</v>
      </c>
      <c r="AE29" s="104"/>
      <c r="AF29" s="187">
        <f t="shared" si="6"/>
        <v>2418.1099999999997</v>
      </c>
      <c r="AG29" s="80">
        <v>3</v>
      </c>
      <c r="AH29" s="158" t="s">
        <v>61</v>
      </c>
      <c r="AI29" s="221">
        <f t="shared" si="7"/>
        <v>0.20373145353622757</v>
      </c>
      <c r="AJ29" s="273">
        <f t="shared" si="8"/>
        <v>7.1306008737679644E-2</v>
      </c>
      <c r="AK29" s="404">
        <v>0.35</v>
      </c>
      <c r="AL29" s="253">
        <f t="shared" si="9"/>
        <v>33.785499999999999</v>
      </c>
      <c r="AM29" s="228">
        <f t="shared" si="10"/>
        <v>11.261833333333334</v>
      </c>
      <c r="AN29" s="233">
        <f t="shared" si="11"/>
        <v>27232.351801666664</v>
      </c>
      <c r="AO29" s="234">
        <f t="shared" si="12"/>
        <v>9.0090479462866368E-3</v>
      </c>
      <c r="AP29" s="238">
        <f>SUM(AO27:AO30)</f>
        <v>0.19700776965039432</v>
      </c>
      <c r="AQ29" s="381"/>
      <c r="AR29" s="381"/>
      <c r="AS29" s="378" t="s">
        <v>202</v>
      </c>
      <c r="AV29" t="s">
        <v>203</v>
      </c>
    </row>
    <row r="30" spans="1:49" ht="14.15" customHeight="1" x14ac:dyDescent="0.35">
      <c r="A30" s="515"/>
      <c r="B30" s="74">
        <v>4034</v>
      </c>
      <c r="C30" s="44"/>
      <c r="D30" s="106" t="s">
        <v>125</v>
      </c>
      <c r="E30" s="493">
        <v>211.13000000000002</v>
      </c>
      <c r="F30" s="439">
        <v>316.69499999999999</v>
      </c>
      <c r="G30" s="156">
        <v>14.5</v>
      </c>
      <c r="H30" s="95">
        <v>542.32500000000005</v>
      </c>
      <c r="I30" s="222">
        <v>0.13379569446365186</v>
      </c>
      <c r="J30" s="232">
        <v>2.006935416954778E-2</v>
      </c>
      <c r="K30" s="204">
        <v>0.15</v>
      </c>
      <c r="L30" s="267">
        <v>10.884112499999999</v>
      </c>
      <c r="M30" s="268">
        <v>7.2560749999999992</v>
      </c>
      <c r="N30" s="269">
        <v>62852.919818249997</v>
      </c>
      <c r="O30" s="248">
        <v>1.8043094850871997E-2</v>
      </c>
      <c r="P30" s="239"/>
      <c r="Q30" s="176">
        <v>353.68</v>
      </c>
      <c r="R30" s="439">
        <v>96.53</v>
      </c>
      <c r="S30" s="156">
        <v>23.6</v>
      </c>
      <c r="T30" s="95">
        <f t="shared" si="17"/>
        <v>473.81000000000006</v>
      </c>
      <c r="U30" s="96">
        <v>0.05</v>
      </c>
      <c r="V30" s="97">
        <v>0.15</v>
      </c>
      <c r="W30" s="98">
        <v>1</v>
      </c>
      <c r="X30" s="83">
        <f t="shared" si="3"/>
        <v>17.684000000000001</v>
      </c>
      <c r="Y30" s="197">
        <f t="shared" si="3"/>
        <v>14.4795</v>
      </c>
      <c r="Z30" s="199">
        <f t="shared" si="3"/>
        <v>23.6</v>
      </c>
      <c r="AA30" s="177">
        <f t="shared" si="4"/>
        <v>55.763500000000001</v>
      </c>
      <c r="AB30" s="85">
        <f t="shared" si="5"/>
        <v>37.175666666666665</v>
      </c>
      <c r="AC30" s="162">
        <v>1224.1099999999999</v>
      </c>
      <c r="AD30" s="108">
        <v>4904.2</v>
      </c>
      <c r="AE30" s="109">
        <v>2533.8000000000002</v>
      </c>
      <c r="AF30" s="110">
        <f t="shared" si="6"/>
        <v>8662.11</v>
      </c>
      <c r="AG30" s="135">
        <v>1.5</v>
      </c>
      <c r="AH30" s="161" t="s">
        <v>61</v>
      </c>
      <c r="AI30" s="222">
        <f t="shared" si="7"/>
        <v>0.11769169076211983</v>
      </c>
      <c r="AJ30" s="232">
        <f t="shared" si="8"/>
        <v>1.5605918195057088E-2</v>
      </c>
      <c r="AK30" s="204">
        <v>0.1326</v>
      </c>
      <c r="AL30" s="267">
        <f t="shared" si="9"/>
        <v>7.3942401000000002</v>
      </c>
      <c r="AM30" s="268">
        <f t="shared" si="10"/>
        <v>4.9294934000000001</v>
      </c>
      <c r="AN30" s="269">
        <f t="shared" si="11"/>
        <v>42699.814075074006</v>
      </c>
      <c r="AO30" s="248">
        <f t="shared" si="12"/>
        <v>1.4126017286407243E-2</v>
      </c>
      <c r="AP30" s="239"/>
      <c r="AQ30" s="381">
        <f>(AL30*1000)/4</f>
        <v>1848.560025</v>
      </c>
      <c r="AR30" s="381"/>
      <c r="AS30" s="378" t="s">
        <v>201</v>
      </c>
      <c r="AT30" s="438">
        <v>0.7208</v>
      </c>
      <c r="AV30" t="s">
        <v>204</v>
      </c>
      <c r="AW30">
        <f>AT10+AT11</f>
        <v>178.09500000000003</v>
      </c>
    </row>
    <row r="31" spans="1:49" ht="14.15" customHeight="1" x14ac:dyDescent="0.35">
      <c r="A31" s="514" t="s">
        <v>39</v>
      </c>
      <c r="B31" s="140">
        <v>1051</v>
      </c>
      <c r="C31" s="42"/>
      <c r="D31" s="76" t="s">
        <v>126</v>
      </c>
      <c r="E31" s="111">
        <v>47</v>
      </c>
      <c r="F31" s="112">
        <v>165</v>
      </c>
      <c r="G31" s="113">
        <v>50</v>
      </c>
      <c r="H31" s="114">
        <v>262</v>
      </c>
      <c r="I31" s="226">
        <v>2</v>
      </c>
      <c r="J31" s="273">
        <v>2</v>
      </c>
      <c r="K31" s="205">
        <v>1</v>
      </c>
      <c r="L31" s="257">
        <v>524</v>
      </c>
      <c r="M31" s="231">
        <v>104.8</v>
      </c>
      <c r="N31" s="246">
        <v>111704.224</v>
      </c>
      <c r="O31" s="247">
        <v>3.2066766583051153E-2</v>
      </c>
      <c r="P31" s="235">
        <v>135885.383</v>
      </c>
      <c r="Q31" s="111">
        <f>79+10+17+3</f>
        <v>109</v>
      </c>
      <c r="R31" s="112">
        <v>163</v>
      </c>
      <c r="S31" s="113">
        <v>17</v>
      </c>
      <c r="T31" s="114">
        <f>SUM(Q31:S31)</f>
        <v>289</v>
      </c>
      <c r="U31" s="115">
        <v>2</v>
      </c>
      <c r="V31" s="116">
        <v>2</v>
      </c>
      <c r="W31" s="117">
        <v>2</v>
      </c>
      <c r="X31" s="183">
        <f t="shared" si="3"/>
        <v>218</v>
      </c>
      <c r="Y31" s="184">
        <f t="shared" si="3"/>
        <v>326</v>
      </c>
      <c r="Z31" s="194">
        <f t="shared" si="3"/>
        <v>34</v>
      </c>
      <c r="AA31" s="190">
        <f t="shared" si="4"/>
        <v>578</v>
      </c>
      <c r="AB31" s="126">
        <f t="shared" si="5"/>
        <v>115.6</v>
      </c>
      <c r="AC31" s="151">
        <v>559.75</v>
      </c>
      <c r="AD31" s="87">
        <v>506.13</v>
      </c>
      <c r="AE31" s="88"/>
      <c r="AF31" s="121">
        <f t="shared" si="6"/>
        <v>1065.8800000000001</v>
      </c>
      <c r="AG31" s="115">
        <v>5</v>
      </c>
      <c r="AH31" s="139" t="s">
        <v>64</v>
      </c>
      <c r="AI31" s="226">
        <f t="shared" si="7"/>
        <v>2</v>
      </c>
      <c r="AJ31" s="273">
        <f t="shared" si="8"/>
        <v>2</v>
      </c>
      <c r="AK31" s="205">
        <v>1</v>
      </c>
      <c r="AL31" s="257">
        <f>AK31*AA31</f>
        <v>578</v>
      </c>
      <c r="AM31" s="231">
        <f t="shared" si="10"/>
        <v>115.6</v>
      </c>
      <c r="AN31" s="246">
        <f t="shared" si="11"/>
        <v>123215.728</v>
      </c>
      <c r="AO31" s="247">
        <f t="shared" si="12"/>
        <v>4.0762414108526455E-2</v>
      </c>
      <c r="AP31" s="235">
        <f>SUM(AN31:AN32)</f>
        <v>149888.83850000001</v>
      </c>
      <c r="AQ31" s="381"/>
      <c r="AR31" s="381"/>
      <c r="AS31" t="s">
        <v>184</v>
      </c>
      <c r="AT31" s="438">
        <v>0.21759999999999999</v>
      </c>
      <c r="AV31" t="s">
        <v>205</v>
      </c>
      <c r="AW31">
        <f>AU10+AU11</f>
        <v>29.93</v>
      </c>
    </row>
    <row r="32" spans="1:49" ht="14.15" customHeight="1" x14ac:dyDescent="0.35">
      <c r="A32" s="515"/>
      <c r="B32" s="74">
        <v>6052</v>
      </c>
      <c r="C32" s="44"/>
      <c r="D32" s="106" t="s">
        <v>127</v>
      </c>
      <c r="E32" s="127">
        <v>47</v>
      </c>
      <c r="F32" s="93">
        <v>165</v>
      </c>
      <c r="G32" s="128">
        <v>50</v>
      </c>
      <c r="H32" s="178">
        <v>262</v>
      </c>
      <c r="I32" s="222">
        <v>9.9999999999999992E-2</v>
      </c>
      <c r="J32" s="232">
        <v>9.9999999999999992E-2</v>
      </c>
      <c r="K32" s="204">
        <v>1</v>
      </c>
      <c r="L32" s="267">
        <v>26.2</v>
      </c>
      <c r="M32" s="268">
        <v>13.1</v>
      </c>
      <c r="N32" s="269">
        <v>24181.159</v>
      </c>
      <c r="O32" s="248">
        <v>6.9416495956379099E-3</v>
      </c>
      <c r="P32" s="238">
        <v>3.9008416178689061E-2</v>
      </c>
      <c r="Q32" s="127">
        <v>109</v>
      </c>
      <c r="R32" s="93">
        <v>163</v>
      </c>
      <c r="S32" s="128">
        <v>17</v>
      </c>
      <c r="T32" s="178">
        <f t="shared" si="17"/>
        <v>289</v>
      </c>
      <c r="U32" s="96">
        <v>0.1</v>
      </c>
      <c r="V32" s="97">
        <v>0.1</v>
      </c>
      <c r="W32" s="98">
        <v>0.1</v>
      </c>
      <c r="X32" s="83">
        <f t="shared" si="3"/>
        <v>10.9</v>
      </c>
      <c r="Y32" s="197">
        <f t="shared" si="3"/>
        <v>16.3</v>
      </c>
      <c r="Z32" s="199">
        <f t="shared" si="3"/>
        <v>1.7000000000000002</v>
      </c>
      <c r="AA32" s="177">
        <f t="shared" si="4"/>
        <v>28.900000000000002</v>
      </c>
      <c r="AB32" s="85">
        <f t="shared" si="5"/>
        <v>14.450000000000001</v>
      </c>
      <c r="AC32" s="162">
        <v>488.18</v>
      </c>
      <c r="AD32" s="108">
        <v>1357.71</v>
      </c>
      <c r="AE32" s="109"/>
      <c r="AF32" s="110">
        <f t="shared" si="6"/>
        <v>1845.89</v>
      </c>
      <c r="AG32" s="135">
        <v>2</v>
      </c>
      <c r="AH32" s="161" t="s">
        <v>64</v>
      </c>
      <c r="AI32" s="222">
        <f t="shared" si="7"/>
        <v>0.1</v>
      </c>
      <c r="AJ32" s="232">
        <f t="shared" si="8"/>
        <v>0.1</v>
      </c>
      <c r="AK32" s="204">
        <v>1</v>
      </c>
      <c r="AL32" s="267">
        <f t="shared" si="9"/>
        <v>28.900000000000002</v>
      </c>
      <c r="AM32" s="268">
        <f t="shared" si="10"/>
        <v>14.450000000000001</v>
      </c>
      <c r="AN32" s="269">
        <f t="shared" si="11"/>
        <v>26673.110500000003</v>
      </c>
      <c r="AO32" s="248">
        <f t="shared" si="12"/>
        <v>8.8240388902582727E-3</v>
      </c>
      <c r="AP32" s="238">
        <f>SUM(AO31:AO32)</f>
        <v>4.9586452998784725E-2</v>
      </c>
      <c r="AQ32" s="380"/>
      <c r="AR32" s="380"/>
      <c r="AS32" t="s">
        <v>185</v>
      </c>
      <c r="AT32" s="438">
        <v>6.1600000000000002E-2</v>
      </c>
      <c r="AV32" t="s">
        <v>206</v>
      </c>
      <c r="AW32">
        <f>AV10+AV11</f>
        <v>10.8</v>
      </c>
    </row>
    <row r="33" spans="1:56" ht="14.15" customHeight="1" x14ac:dyDescent="0.35">
      <c r="A33" s="514" t="s">
        <v>42</v>
      </c>
      <c r="B33" s="140">
        <v>1061</v>
      </c>
      <c r="C33" s="42"/>
      <c r="D33" s="141" t="s">
        <v>128</v>
      </c>
      <c r="E33" s="111">
        <v>15</v>
      </c>
      <c r="F33" s="112">
        <v>0</v>
      </c>
      <c r="G33" s="113">
        <v>2</v>
      </c>
      <c r="H33" s="114">
        <v>17</v>
      </c>
      <c r="I33" s="226">
        <v>2</v>
      </c>
      <c r="J33" s="230">
        <v>2</v>
      </c>
      <c r="K33" s="205">
        <v>1</v>
      </c>
      <c r="L33" s="257">
        <v>34</v>
      </c>
      <c r="M33" s="231">
        <v>11.333333333333334</v>
      </c>
      <c r="N33" s="246">
        <v>14369.420000000002</v>
      </c>
      <c r="O33" s="247">
        <v>4.1250081740313322E-3</v>
      </c>
      <c r="P33" s="236"/>
      <c r="Q33" s="111">
        <v>17</v>
      </c>
      <c r="R33" s="112">
        <v>0</v>
      </c>
      <c r="S33" s="113"/>
      <c r="T33" s="114">
        <f t="shared" si="17"/>
        <v>17</v>
      </c>
      <c r="U33" s="115">
        <v>2</v>
      </c>
      <c r="V33" s="116">
        <v>2</v>
      </c>
      <c r="W33" s="117">
        <v>2</v>
      </c>
      <c r="X33" s="183">
        <f t="shared" si="3"/>
        <v>34</v>
      </c>
      <c r="Y33" s="184">
        <f t="shared" si="3"/>
        <v>0</v>
      </c>
      <c r="Z33" s="194">
        <f t="shared" si="3"/>
        <v>0</v>
      </c>
      <c r="AA33" s="190">
        <f t="shared" si="4"/>
        <v>34</v>
      </c>
      <c r="AB33" s="126">
        <f t="shared" si="5"/>
        <v>11.333333333333334</v>
      </c>
      <c r="AC33" s="151">
        <v>559.75</v>
      </c>
      <c r="AD33" s="87">
        <v>491.66</v>
      </c>
      <c r="AE33" s="88">
        <v>216.48</v>
      </c>
      <c r="AF33" s="149">
        <f t="shared" si="6"/>
        <v>1267.8900000000001</v>
      </c>
      <c r="AG33" s="115">
        <v>3</v>
      </c>
      <c r="AH33" s="139" t="s">
        <v>64</v>
      </c>
      <c r="AI33" s="226">
        <f t="shared" si="7"/>
        <v>2</v>
      </c>
      <c r="AJ33" s="230">
        <f t="shared" si="8"/>
        <v>2</v>
      </c>
      <c r="AK33" s="205">
        <v>1</v>
      </c>
      <c r="AL33" s="257">
        <f t="shared" si="9"/>
        <v>34</v>
      </c>
      <c r="AM33" s="231">
        <f t="shared" si="10"/>
        <v>11.333333333333334</v>
      </c>
      <c r="AN33" s="246">
        <f t="shared" si="11"/>
        <v>14369.420000000002</v>
      </c>
      <c r="AO33" s="247">
        <f t="shared" si="12"/>
        <v>4.7537133290268124E-3</v>
      </c>
      <c r="AP33" s="236"/>
      <c r="AQ33" s="381"/>
      <c r="AR33" s="381"/>
      <c r="AS33"/>
    </row>
    <row r="34" spans="1:56" ht="14.15" customHeight="1" x14ac:dyDescent="0.35">
      <c r="A34" s="515"/>
      <c r="B34" s="73">
        <v>6062</v>
      </c>
      <c r="C34" s="43"/>
      <c r="D34" s="91" t="s">
        <v>129</v>
      </c>
      <c r="E34" s="127">
        <v>0</v>
      </c>
      <c r="F34" s="93">
        <v>0</v>
      </c>
      <c r="G34" s="128">
        <v>0</v>
      </c>
      <c r="H34" s="178"/>
      <c r="I34" s="221"/>
      <c r="J34" s="227"/>
      <c r="K34" s="203" t="s">
        <v>2</v>
      </c>
      <c r="L34" s="253"/>
      <c r="M34" s="228"/>
      <c r="N34" s="233"/>
      <c r="O34" s="234"/>
      <c r="P34" s="235">
        <v>17298.5</v>
      </c>
      <c r="Q34" s="127">
        <v>0</v>
      </c>
      <c r="R34" s="93">
        <v>0</v>
      </c>
      <c r="S34" s="128">
        <v>0</v>
      </c>
      <c r="T34" s="178"/>
      <c r="U34" s="96">
        <v>0.2</v>
      </c>
      <c r="V34" s="97">
        <v>0.5</v>
      </c>
      <c r="W34" s="98">
        <v>1</v>
      </c>
      <c r="X34" s="99">
        <f t="shared" si="3"/>
        <v>0</v>
      </c>
      <c r="Y34" s="100">
        <f t="shared" si="3"/>
        <v>0</v>
      </c>
      <c r="Z34" s="188">
        <f t="shared" si="3"/>
        <v>0</v>
      </c>
      <c r="AA34" s="150"/>
      <c r="AB34" s="101"/>
      <c r="AC34" s="154">
        <v>570.73</v>
      </c>
      <c r="AD34" s="103">
        <v>638.65</v>
      </c>
      <c r="AE34" s="104">
        <v>3463.4</v>
      </c>
      <c r="AF34" s="89">
        <f t="shared" si="6"/>
        <v>4672.7800000000007</v>
      </c>
      <c r="AG34" s="96">
        <v>2</v>
      </c>
      <c r="AH34" s="152" t="s">
        <v>64</v>
      </c>
      <c r="AI34" s="221"/>
      <c r="AJ34" s="227"/>
      <c r="AK34" s="203" t="s">
        <v>2</v>
      </c>
      <c r="AL34" s="253"/>
      <c r="AM34" s="228"/>
      <c r="AN34" s="233"/>
      <c r="AO34" s="234"/>
      <c r="AP34" s="235">
        <f>SUM(AN33:AN35)</f>
        <v>17298.5</v>
      </c>
      <c r="AQ34" s="381"/>
      <c r="AR34" s="381"/>
    </row>
    <row r="35" spans="1:56" ht="14.15" customHeight="1" x14ac:dyDescent="0.35">
      <c r="A35" s="516"/>
      <c r="B35" s="74">
        <v>6063</v>
      </c>
      <c r="C35" s="44"/>
      <c r="D35" s="106" t="s">
        <v>130</v>
      </c>
      <c r="E35" s="122">
        <v>15</v>
      </c>
      <c r="F35" s="123">
        <v>0</v>
      </c>
      <c r="G35" s="124">
        <v>2</v>
      </c>
      <c r="H35" s="125">
        <v>17</v>
      </c>
      <c r="I35" s="222">
        <v>9.9999999999999992E-2</v>
      </c>
      <c r="J35" s="275">
        <v>9.9999999999999992E-2</v>
      </c>
      <c r="K35" s="204">
        <v>1</v>
      </c>
      <c r="L35" s="267">
        <v>2</v>
      </c>
      <c r="M35" s="268">
        <v>1.3333333333333333</v>
      </c>
      <c r="N35" s="269">
        <v>2929.08</v>
      </c>
      <c r="O35" s="248">
        <v>8.4084666899510846E-4</v>
      </c>
      <c r="P35" s="238">
        <v>4.9658548430264408E-3</v>
      </c>
      <c r="Q35" s="122">
        <v>17</v>
      </c>
      <c r="R35" s="123">
        <v>0</v>
      </c>
      <c r="S35" s="124"/>
      <c r="T35" s="125">
        <f t="shared" ref="T35:T40" si="18">SUM(Q35:S35)</f>
        <v>17</v>
      </c>
      <c r="U35" s="80">
        <v>0.1</v>
      </c>
      <c r="V35" s="81">
        <v>0.1</v>
      </c>
      <c r="W35" s="82">
        <v>0.1</v>
      </c>
      <c r="X35" s="83">
        <f t="shared" si="3"/>
        <v>1.7000000000000002</v>
      </c>
      <c r="Y35" s="197">
        <f t="shared" si="3"/>
        <v>0</v>
      </c>
      <c r="Z35" s="199">
        <f t="shared" si="3"/>
        <v>0</v>
      </c>
      <c r="AA35" s="177">
        <f t="shared" si="4"/>
        <v>1.7000000000000002</v>
      </c>
      <c r="AB35" s="85">
        <f t="shared" si="5"/>
        <v>1.1333333333333335</v>
      </c>
      <c r="AC35" s="162">
        <v>627.66</v>
      </c>
      <c r="AD35" s="108">
        <v>1569.15</v>
      </c>
      <c r="AE35" s="109"/>
      <c r="AF35" s="189">
        <f t="shared" si="6"/>
        <v>2196.81</v>
      </c>
      <c r="AG35" s="163">
        <v>1.5</v>
      </c>
      <c r="AH35" s="169" t="s">
        <v>64</v>
      </c>
      <c r="AI35" s="222">
        <f t="shared" si="7"/>
        <v>0.1</v>
      </c>
      <c r="AJ35" s="275">
        <f t="shared" si="8"/>
        <v>0.1</v>
      </c>
      <c r="AK35" s="204">
        <v>1</v>
      </c>
      <c r="AL35" s="267">
        <f>(AK35*AA35)+0.3</f>
        <v>2</v>
      </c>
      <c r="AM35" s="268">
        <f t="shared" si="10"/>
        <v>1.3333333333333333</v>
      </c>
      <c r="AN35" s="269">
        <f t="shared" si="11"/>
        <v>2929.08</v>
      </c>
      <c r="AO35" s="248">
        <f t="shared" si="12"/>
        <v>9.6900269028157393E-4</v>
      </c>
      <c r="AP35" s="238">
        <f>SUM(AO33:AO35)</f>
        <v>5.7227160193083866E-3</v>
      </c>
      <c r="AQ35" s="382"/>
      <c r="AR35" s="382"/>
    </row>
    <row r="36" spans="1:56" ht="14.15" customHeight="1" x14ac:dyDescent="0.35">
      <c r="A36" s="517" t="s">
        <v>46</v>
      </c>
      <c r="B36" s="75">
        <v>1071</v>
      </c>
      <c r="C36" s="45"/>
      <c r="D36" s="76" t="s">
        <v>131</v>
      </c>
      <c r="E36" s="362">
        <v>122.22320000000002</v>
      </c>
      <c r="F36" s="181">
        <v>24.123000000000001</v>
      </c>
      <c r="G36" s="182">
        <v>12.441600000000001</v>
      </c>
      <c r="H36" s="192">
        <v>158.7878</v>
      </c>
      <c r="I36" s="226">
        <v>2</v>
      </c>
      <c r="J36" s="273">
        <v>2</v>
      </c>
      <c r="K36" s="205">
        <v>1</v>
      </c>
      <c r="L36" s="257">
        <v>317.57560000000001</v>
      </c>
      <c r="M36" s="231">
        <v>45.367942857142857</v>
      </c>
      <c r="N36" s="246">
        <v>45803.928788000005</v>
      </c>
      <c r="O36" s="247">
        <v>1.3148866179236813E-2</v>
      </c>
      <c r="P36" s="236"/>
      <c r="Q36" s="362">
        <f>(130.6)*0.8322</f>
        <v>108.68532</v>
      </c>
      <c r="R36" s="181">
        <f>(130.6)*0.1329</f>
        <v>17.356739999999999</v>
      </c>
      <c r="S36" s="182">
        <f>(130.6)*0.0349</f>
        <v>4.5579399999999994</v>
      </c>
      <c r="T36" s="402">
        <f t="shared" si="18"/>
        <v>130.6</v>
      </c>
      <c r="U36" s="144">
        <v>2</v>
      </c>
      <c r="V36" s="145">
        <v>2</v>
      </c>
      <c r="W36" s="146">
        <v>2</v>
      </c>
      <c r="X36" s="183">
        <f t="shared" si="3"/>
        <v>217.37064000000001</v>
      </c>
      <c r="Y36" s="184">
        <f t="shared" si="3"/>
        <v>34.713479999999997</v>
      </c>
      <c r="Z36" s="194">
        <f t="shared" si="3"/>
        <v>9.1158799999999989</v>
      </c>
      <c r="AA36" s="190">
        <f t="shared" si="4"/>
        <v>261.2</v>
      </c>
      <c r="AB36" s="126">
        <f t="shared" si="5"/>
        <v>37.31428571428571</v>
      </c>
      <c r="AC36" s="151">
        <v>420.27</v>
      </c>
      <c r="AD36" s="87">
        <v>489.16</v>
      </c>
      <c r="AE36" s="88">
        <v>100.18</v>
      </c>
      <c r="AF36" s="149">
        <f t="shared" si="6"/>
        <v>1009.6100000000001</v>
      </c>
      <c r="AG36" s="144">
        <v>7</v>
      </c>
      <c r="AH36" s="171" t="s">
        <v>63</v>
      </c>
      <c r="AI36" s="226">
        <f t="shared" si="7"/>
        <v>2</v>
      </c>
      <c r="AJ36" s="273">
        <f t="shared" si="8"/>
        <v>2</v>
      </c>
      <c r="AK36" s="205">
        <v>1</v>
      </c>
      <c r="AL36" s="257">
        <f t="shared" si="9"/>
        <v>261.2</v>
      </c>
      <c r="AM36" s="231">
        <f t="shared" si="10"/>
        <v>37.31428571428571</v>
      </c>
      <c r="AN36" s="246">
        <f t="shared" si="11"/>
        <v>37672.875999999997</v>
      </c>
      <c r="AO36" s="247">
        <f t="shared" si="12"/>
        <v>1.2462998004371385E-2</v>
      </c>
      <c r="AP36" s="236"/>
      <c r="AQ36" s="381"/>
      <c r="AR36" s="381"/>
    </row>
    <row r="37" spans="1:56" ht="14.15" customHeight="1" x14ac:dyDescent="0.35">
      <c r="A37" s="517"/>
      <c r="B37" s="73">
        <v>1072</v>
      </c>
      <c r="C37" s="43"/>
      <c r="D37" s="91" t="s">
        <v>132</v>
      </c>
      <c r="E37" s="360">
        <v>106.91980000000001</v>
      </c>
      <c r="F37" s="93">
        <v>16.950700000000001</v>
      </c>
      <c r="G37" s="128">
        <v>6.2545000000000002</v>
      </c>
      <c r="H37" s="361">
        <v>130.125</v>
      </c>
      <c r="I37" s="221">
        <v>30</v>
      </c>
      <c r="J37" s="227">
        <v>6</v>
      </c>
      <c r="K37" s="203">
        <v>0.2</v>
      </c>
      <c r="L37" s="253">
        <v>780.75</v>
      </c>
      <c r="M37" s="228">
        <v>2.6025</v>
      </c>
      <c r="N37" s="233">
        <v>6931.4724749999996</v>
      </c>
      <c r="O37" s="234">
        <v>1.9898075647763222E-3</v>
      </c>
      <c r="P37" s="237"/>
      <c r="Q37" s="360">
        <v>178.095</v>
      </c>
      <c r="R37" s="93">
        <v>29.93</v>
      </c>
      <c r="S37" s="128">
        <v>10.8</v>
      </c>
      <c r="T37" s="361">
        <f t="shared" si="18"/>
        <v>218.82500000000002</v>
      </c>
      <c r="U37" s="96">
        <v>30</v>
      </c>
      <c r="V37" s="97">
        <v>30</v>
      </c>
      <c r="W37" s="130">
        <v>30</v>
      </c>
      <c r="X37" s="83">
        <f t="shared" si="3"/>
        <v>5342.85</v>
      </c>
      <c r="Y37" s="100">
        <f t="shared" si="3"/>
        <v>897.9</v>
      </c>
      <c r="Z37" s="188">
        <f t="shared" si="3"/>
        <v>324</v>
      </c>
      <c r="AA37" s="150">
        <f t="shared" si="4"/>
        <v>6564.75</v>
      </c>
      <c r="AB37" s="101">
        <f t="shared" si="5"/>
        <v>21.8825</v>
      </c>
      <c r="AC37" s="154">
        <v>398.25</v>
      </c>
      <c r="AD37" s="103">
        <v>161.54</v>
      </c>
      <c r="AE37" s="104">
        <v>2103.6</v>
      </c>
      <c r="AF37" s="189">
        <f t="shared" si="6"/>
        <v>2663.39</v>
      </c>
      <c r="AG37" s="96">
        <v>300</v>
      </c>
      <c r="AH37" s="152" t="s">
        <v>60</v>
      </c>
      <c r="AI37" s="221">
        <f t="shared" si="7"/>
        <v>29.999999999999996</v>
      </c>
      <c r="AJ37" s="227">
        <f t="shared" si="8"/>
        <v>3.8973569999999995</v>
      </c>
      <c r="AK37" s="429">
        <v>0.1299119</v>
      </c>
      <c r="AL37" s="253">
        <f t="shared" si="9"/>
        <v>852.83914552499994</v>
      </c>
      <c r="AM37" s="228">
        <f t="shared" si="10"/>
        <v>2.8427971517499997</v>
      </c>
      <c r="AN37" s="233">
        <f t="shared" si="11"/>
        <v>7571.4775059994317</v>
      </c>
      <c r="AO37" s="234">
        <f t="shared" si="12"/>
        <v>2.5048076777417724E-3</v>
      </c>
      <c r="AP37" s="237"/>
      <c r="AQ37" s="381"/>
      <c r="AR37" s="381"/>
    </row>
    <row r="38" spans="1:56" ht="14.15" customHeight="1" x14ac:dyDescent="0.35">
      <c r="A38" s="517"/>
      <c r="B38" s="73">
        <v>1073</v>
      </c>
      <c r="C38" s="43"/>
      <c r="D38" s="91" t="s">
        <v>133</v>
      </c>
      <c r="E38" s="127">
        <v>1300</v>
      </c>
      <c r="F38" s="93">
        <v>50</v>
      </c>
      <c r="G38" s="128"/>
      <c r="H38" s="131">
        <v>1350</v>
      </c>
      <c r="I38" s="221">
        <v>0.25</v>
      </c>
      <c r="J38" s="276">
        <v>0.25</v>
      </c>
      <c r="K38" s="203">
        <v>1</v>
      </c>
      <c r="L38" s="253">
        <v>337.5</v>
      </c>
      <c r="M38" s="228">
        <v>0.5625</v>
      </c>
      <c r="N38" s="233">
        <v>954.27</v>
      </c>
      <c r="O38" s="234">
        <v>2.7394087932796723E-4</v>
      </c>
      <c r="P38" s="235">
        <v>108625.29812672856</v>
      </c>
      <c r="Q38" s="127">
        <v>1900</v>
      </c>
      <c r="R38" s="93">
        <v>200</v>
      </c>
      <c r="S38" s="128"/>
      <c r="T38" s="131">
        <f t="shared" si="18"/>
        <v>2100</v>
      </c>
      <c r="U38" s="96">
        <v>0.25</v>
      </c>
      <c r="V38" s="97">
        <v>0.25</v>
      </c>
      <c r="W38" s="130">
        <v>0.25</v>
      </c>
      <c r="X38" s="195">
        <f t="shared" si="3"/>
        <v>475</v>
      </c>
      <c r="Y38" s="100">
        <f t="shared" si="3"/>
        <v>50</v>
      </c>
      <c r="Z38" s="188">
        <f t="shared" si="3"/>
        <v>0</v>
      </c>
      <c r="AA38" s="150">
        <f t="shared" si="4"/>
        <v>525</v>
      </c>
      <c r="AB38" s="101">
        <f t="shared" si="5"/>
        <v>0.875</v>
      </c>
      <c r="AC38" s="154">
        <v>629.49</v>
      </c>
      <c r="AD38" s="103">
        <v>639.54</v>
      </c>
      <c r="AE38" s="104">
        <v>427.45</v>
      </c>
      <c r="AF38" s="187">
        <f t="shared" si="6"/>
        <v>1696.48</v>
      </c>
      <c r="AG38" s="96">
        <v>600</v>
      </c>
      <c r="AH38" s="152" t="s">
        <v>62</v>
      </c>
      <c r="AI38" s="221">
        <f t="shared" si="7"/>
        <v>0.25</v>
      </c>
      <c r="AJ38" s="276">
        <f t="shared" si="8"/>
        <v>0.25</v>
      </c>
      <c r="AK38" s="203">
        <v>1</v>
      </c>
      <c r="AL38" s="253">
        <f t="shared" si="9"/>
        <v>525</v>
      </c>
      <c r="AM38" s="228">
        <f t="shared" si="10"/>
        <v>0.875</v>
      </c>
      <c r="AN38" s="233">
        <f t="shared" si="11"/>
        <v>1484.42</v>
      </c>
      <c r="AO38" s="234">
        <f t="shared" si="12"/>
        <v>4.9107807690734772E-4</v>
      </c>
      <c r="AP38" s="235">
        <f>SUM(AN36:AN40)</f>
        <v>121720.41960657087</v>
      </c>
      <c r="AQ38" s="381"/>
      <c r="AR38" s="381"/>
      <c r="AS38" s="381"/>
    </row>
    <row r="39" spans="1:56" ht="14.15" customHeight="1" x14ac:dyDescent="0.35">
      <c r="A39" s="517"/>
      <c r="B39" s="73">
        <v>7074</v>
      </c>
      <c r="C39" s="43"/>
      <c r="D39" s="91" t="s">
        <v>134</v>
      </c>
      <c r="E39" s="360">
        <v>106.91980000000001</v>
      </c>
      <c r="F39" s="93">
        <v>16.950700000000001</v>
      </c>
      <c r="G39" s="128">
        <v>6.2545000000000002</v>
      </c>
      <c r="H39" s="263">
        <v>130.125</v>
      </c>
      <c r="I39" s="221">
        <v>56.1662209414025</v>
      </c>
      <c r="J39" s="276">
        <v>14.041555235350625</v>
      </c>
      <c r="K39" s="203">
        <v>0.25</v>
      </c>
      <c r="L39" s="253">
        <v>1827.157375</v>
      </c>
      <c r="M39" s="228">
        <v>5.220449642857143</v>
      </c>
      <c r="N39" s="233">
        <v>54935.626863728568</v>
      </c>
      <c r="O39" s="234">
        <v>1.577028925721536E-2</v>
      </c>
      <c r="P39" s="238">
        <v>3.1182903880556462E-2</v>
      </c>
      <c r="Q39" s="360">
        <v>178.1</v>
      </c>
      <c r="R39" s="93">
        <v>29.93</v>
      </c>
      <c r="S39" s="128">
        <v>10.8</v>
      </c>
      <c r="T39" s="263">
        <f t="shared" si="18"/>
        <v>218.83</v>
      </c>
      <c r="U39" s="96">
        <v>35</v>
      </c>
      <c r="V39" s="97">
        <v>120</v>
      </c>
      <c r="W39" s="130">
        <v>245</v>
      </c>
      <c r="X39" s="99">
        <f t="shared" si="3"/>
        <v>6233.5</v>
      </c>
      <c r="Y39" s="100">
        <f t="shared" si="3"/>
        <v>3591.6</v>
      </c>
      <c r="Z39" s="188">
        <f t="shared" si="3"/>
        <v>2646</v>
      </c>
      <c r="AA39" s="150">
        <f t="shared" si="4"/>
        <v>12471.1</v>
      </c>
      <c r="AB39" s="101">
        <f t="shared" si="5"/>
        <v>35.631714285714288</v>
      </c>
      <c r="AC39" s="154">
        <v>559.75</v>
      </c>
      <c r="AD39" s="103">
        <v>810.91</v>
      </c>
      <c r="AE39" s="104">
        <v>9152.5</v>
      </c>
      <c r="AF39" s="187">
        <f t="shared" si="6"/>
        <v>10523.16</v>
      </c>
      <c r="AG39" s="96">
        <v>350</v>
      </c>
      <c r="AH39" s="152" t="s">
        <v>60</v>
      </c>
      <c r="AI39" s="221">
        <f t="shared" si="7"/>
        <v>56.989900836265591</v>
      </c>
      <c r="AJ39" s="276">
        <f t="shared" si="8"/>
        <v>11.397980167253118</v>
      </c>
      <c r="AK39" s="203">
        <v>0.2</v>
      </c>
      <c r="AL39" s="253">
        <f t="shared" si="9"/>
        <v>2494.2200000000003</v>
      </c>
      <c r="AM39" s="228">
        <f t="shared" si="10"/>
        <v>7.1263428571428582</v>
      </c>
      <c r="AN39" s="233">
        <f t="shared" si="11"/>
        <v>74991.646100571437</v>
      </c>
      <c r="AO39" s="234">
        <f t="shared" si="12"/>
        <v>2.4808850157761967E-2</v>
      </c>
      <c r="AP39" s="238">
        <f>SUM(AO36:AO40)</f>
        <v>4.0267733916782469E-2</v>
      </c>
      <c r="AQ39" s="381">
        <f>AL39/0.6</f>
        <v>4157.0333333333338</v>
      </c>
      <c r="AR39" s="381"/>
      <c r="AS39" s="381"/>
    </row>
    <row r="40" spans="1:56" ht="14.15" customHeight="1" x14ac:dyDescent="0.35">
      <c r="A40" s="517"/>
      <c r="B40" s="74">
        <v>7075</v>
      </c>
      <c r="C40" s="44"/>
      <c r="D40" s="106" t="s">
        <v>135</v>
      </c>
      <c r="E40" s="360">
        <v>106.91980000000001</v>
      </c>
      <c r="F40" s="93">
        <v>16.950700000000001</v>
      </c>
      <c r="G40" s="128">
        <v>6.2545000000000002</v>
      </c>
      <c r="H40" s="264">
        <v>130.125</v>
      </c>
      <c r="I40" s="222">
        <v>28.644818443804034</v>
      </c>
      <c r="J40" s="275"/>
      <c r="K40" s="204" t="s">
        <v>2</v>
      </c>
      <c r="L40" s="267"/>
      <c r="M40" s="268"/>
      <c r="N40" s="269"/>
      <c r="O40" s="248"/>
      <c r="P40" s="239"/>
      <c r="Q40" s="360">
        <v>178.1</v>
      </c>
      <c r="R40" s="93">
        <v>29.93</v>
      </c>
      <c r="S40" s="128">
        <v>10.8</v>
      </c>
      <c r="T40" s="264">
        <f t="shared" si="18"/>
        <v>218.83</v>
      </c>
      <c r="U40" s="135">
        <v>20</v>
      </c>
      <c r="V40" s="136">
        <v>55</v>
      </c>
      <c r="W40" s="137">
        <v>105</v>
      </c>
      <c r="X40" s="83">
        <f t="shared" si="3"/>
        <v>3562</v>
      </c>
      <c r="Y40" s="197">
        <f t="shared" si="3"/>
        <v>1646.15</v>
      </c>
      <c r="Z40" s="199">
        <f t="shared" si="3"/>
        <v>1134</v>
      </c>
      <c r="AA40" s="177">
        <f t="shared" si="4"/>
        <v>6342.15</v>
      </c>
      <c r="AB40" s="85">
        <f t="shared" si="5"/>
        <v>18.120428571428569</v>
      </c>
      <c r="AC40" s="162">
        <v>559.75</v>
      </c>
      <c r="AD40" s="108">
        <v>810.91</v>
      </c>
      <c r="AE40" s="109">
        <v>24500</v>
      </c>
      <c r="AF40" s="110">
        <f t="shared" si="6"/>
        <v>25870.66</v>
      </c>
      <c r="AG40" s="135">
        <v>350</v>
      </c>
      <c r="AH40" s="161" t="s">
        <v>60</v>
      </c>
      <c r="AI40" s="222">
        <f t="shared" si="7"/>
        <v>28.982086551204127</v>
      </c>
      <c r="AJ40" s="275"/>
      <c r="AK40" s="204" t="s">
        <v>2</v>
      </c>
      <c r="AL40" s="267"/>
      <c r="AM40" s="268"/>
      <c r="AN40" s="269"/>
      <c r="AO40" s="248"/>
      <c r="AP40" s="239"/>
      <c r="AQ40" s="381"/>
      <c r="AR40" s="381"/>
      <c r="AS40" s="381"/>
    </row>
    <row r="41" spans="1:56" ht="14.15" customHeight="1" x14ac:dyDescent="0.35">
      <c r="A41" s="518" t="s">
        <v>73</v>
      </c>
      <c r="B41" s="140">
        <v>9091</v>
      </c>
      <c r="C41" s="42"/>
      <c r="D41" s="141" t="s">
        <v>136</v>
      </c>
      <c r="E41" s="180">
        <v>72.588078799481252</v>
      </c>
      <c r="F41" s="181">
        <v>147.9317242018156</v>
      </c>
      <c r="G41" s="182">
        <v>9.5575958747607004</v>
      </c>
      <c r="H41" s="185">
        <v>230.07739887605754</v>
      </c>
      <c r="I41" s="226">
        <v>20</v>
      </c>
      <c r="J41" s="273">
        <v>15</v>
      </c>
      <c r="K41" s="205">
        <v>0.75</v>
      </c>
      <c r="L41" s="257">
        <v>3451.1609831408632</v>
      </c>
      <c r="M41" s="231">
        <v>143.79837429753596</v>
      </c>
      <c r="N41" s="246">
        <v>80350.21760623416</v>
      </c>
      <c r="O41" s="247">
        <v>2.3066018281246711E-2</v>
      </c>
      <c r="P41" s="236"/>
      <c r="Q41" s="180">
        <f>Q9+Q18</f>
        <v>66</v>
      </c>
      <c r="R41" s="181">
        <f>R9+R18</f>
        <v>40.67</v>
      </c>
      <c r="S41" s="182">
        <f>S9+S18</f>
        <v>23.93</v>
      </c>
      <c r="T41" s="412">
        <f>SUM(Q41:S41)</f>
        <v>130.6</v>
      </c>
      <c r="U41" s="80">
        <v>20</v>
      </c>
      <c r="V41" s="81">
        <v>20</v>
      </c>
      <c r="W41" s="82">
        <v>20</v>
      </c>
      <c r="X41" s="183">
        <f t="shared" si="3"/>
        <v>1320</v>
      </c>
      <c r="Y41" s="184">
        <f t="shared" si="3"/>
        <v>813.40000000000009</v>
      </c>
      <c r="Z41" s="194">
        <f t="shared" si="3"/>
        <v>478.6</v>
      </c>
      <c r="AA41" s="190">
        <f t="shared" si="4"/>
        <v>2612</v>
      </c>
      <c r="AB41" s="126">
        <f t="shared" si="5"/>
        <v>108.83333333333333</v>
      </c>
      <c r="AC41" s="151">
        <v>258.77</v>
      </c>
      <c r="AD41" s="87">
        <v>300</v>
      </c>
      <c r="AE41" s="88"/>
      <c r="AF41" s="149">
        <f t="shared" si="6"/>
        <v>558.77</v>
      </c>
      <c r="AG41" s="115">
        <v>24</v>
      </c>
      <c r="AH41" s="139" t="s">
        <v>65</v>
      </c>
      <c r="AI41" s="226">
        <f t="shared" si="7"/>
        <v>20</v>
      </c>
      <c r="AJ41" s="273">
        <f t="shared" si="8"/>
        <v>15</v>
      </c>
      <c r="AK41" s="205">
        <v>0.75</v>
      </c>
      <c r="AL41" s="257">
        <f t="shared" si="9"/>
        <v>1959</v>
      </c>
      <c r="AM41" s="231">
        <f t="shared" si="10"/>
        <v>81.625</v>
      </c>
      <c r="AN41" s="246">
        <f t="shared" si="11"/>
        <v>45609.60125</v>
      </c>
      <c r="AO41" s="247">
        <f t="shared" si="12"/>
        <v>1.5088637495022272E-2</v>
      </c>
      <c r="AP41" s="236"/>
      <c r="AQ41" s="382"/>
      <c r="AW41" s="382" t="s">
        <v>171</v>
      </c>
      <c r="AX41" s="382"/>
      <c r="AY41" s="357"/>
      <c r="AZ41" s="382" t="s">
        <v>172</v>
      </c>
      <c r="BA41" s="382"/>
      <c r="BC41" s="382" t="s">
        <v>173</v>
      </c>
      <c r="BD41" s="382"/>
    </row>
    <row r="42" spans="1:56" ht="14.15" customHeight="1" x14ac:dyDescent="0.35">
      <c r="A42" s="519"/>
      <c r="B42" s="73">
        <v>9092</v>
      </c>
      <c r="C42" s="43"/>
      <c r="D42" s="91" t="s">
        <v>137</v>
      </c>
      <c r="E42" s="127">
        <v>72.588078799481252</v>
      </c>
      <c r="F42" s="93">
        <v>147.9317242018156</v>
      </c>
      <c r="G42" s="128">
        <v>9.5575958747607004</v>
      </c>
      <c r="H42" s="129">
        <v>230.07739887605754</v>
      </c>
      <c r="I42" s="221">
        <v>0.25</v>
      </c>
      <c r="J42" s="274">
        <v>0.1875</v>
      </c>
      <c r="K42" s="203">
        <v>0.75</v>
      </c>
      <c r="L42" s="253">
        <v>43.139512289260793</v>
      </c>
      <c r="M42" s="228">
        <v>86.279024578521586</v>
      </c>
      <c r="N42" s="233">
        <v>83770.89333402396</v>
      </c>
      <c r="O42" s="234">
        <v>2.4047986609672181E-2</v>
      </c>
      <c r="P42" s="237"/>
      <c r="Q42" s="127">
        <v>60.9</v>
      </c>
      <c r="R42" s="93">
        <v>51.87</v>
      </c>
      <c r="S42" s="128">
        <v>17.829999999999998</v>
      </c>
      <c r="T42" s="263">
        <f>SUM(Q42:S42)</f>
        <v>130.6</v>
      </c>
      <c r="U42" s="96">
        <v>0.25</v>
      </c>
      <c r="V42" s="97">
        <v>0.25</v>
      </c>
      <c r="W42" s="130">
        <v>0.25</v>
      </c>
      <c r="X42" s="99">
        <f t="shared" si="3"/>
        <v>15.225</v>
      </c>
      <c r="Y42" s="100">
        <f t="shared" si="3"/>
        <v>12.967499999999999</v>
      </c>
      <c r="Z42" s="188">
        <f t="shared" si="3"/>
        <v>4.4574999999999996</v>
      </c>
      <c r="AA42" s="150">
        <f t="shared" si="4"/>
        <v>32.65</v>
      </c>
      <c r="AB42" s="101">
        <f t="shared" si="5"/>
        <v>65.3</v>
      </c>
      <c r="AC42" s="154">
        <v>420.27</v>
      </c>
      <c r="AD42" s="103">
        <v>550.66</v>
      </c>
      <c r="AE42" s="104"/>
      <c r="AF42" s="189">
        <f t="shared" si="6"/>
        <v>970.93</v>
      </c>
      <c r="AG42" s="96">
        <v>0.5</v>
      </c>
      <c r="AH42" s="152" t="s">
        <v>66</v>
      </c>
      <c r="AI42" s="221">
        <f t="shared" si="7"/>
        <v>0.25</v>
      </c>
      <c r="AJ42" s="274">
        <f t="shared" si="8"/>
        <v>0.1875</v>
      </c>
      <c r="AK42" s="203">
        <v>0.75</v>
      </c>
      <c r="AL42" s="253">
        <f t="shared" si="9"/>
        <v>24.487499999999997</v>
      </c>
      <c r="AM42" s="228">
        <f t="shared" si="10"/>
        <v>48.974999999999994</v>
      </c>
      <c r="AN42" s="233">
        <f t="shared" si="11"/>
        <v>47551.296749999994</v>
      </c>
      <c r="AO42" s="234">
        <f t="shared" si="12"/>
        <v>1.5730992146724385E-2</v>
      </c>
      <c r="AP42" s="237"/>
      <c r="AQ42" s="381"/>
      <c r="AW42" s="381" t="s">
        <v>174</v>
      </c>
      <c r="AX42" s="395">
        <v>663.755</v>
      </c>
      <c r="AY42" s="396"/>
      <c r="AZ42" s="381" t="s">
        <v>174</v>
      </c>
      <c r="BA42" s="395">
        <v>533.16</v>
      </c>
      <c r="BC42" s="381" t="s">
        <v>174</v>
      </c>
      <c r="BD42" s="395">
        <v>130.595</v>
      </c>
    </row>
    <row r="43" spans="1:56" ht="14.15" customHeight="1" x14ac:dyDescent="0.35">
      <c r="A43" s="519"/>
      <c r="B43" s="73">
        <v>9093</v>
      </c>
      <c r="C43" s="43"/>
      <c r="D43" s="91" t="s">
        <v>138</v>
      </c>
      <c r="E43" s="127">
        <v>72.588078799481252</v>
      </c>
      <c r="F43" s="93">
        <v>147.9317242018156</v>
      </c>
      <c r="G43" s="128">
        <v>9.5575958747607004</v>
      </c>
      <c r="H43" s="129">
        <v>230.07739887605754</v>
      </c>
      <c r="I43" s="221">
        <v>5</v>
      </c>
      <c r="J43" s="274">
        <v>3.75</v>
      </c>
      <c r="K43" s="203">
        <v>0.75</v>
      </c>
      <c r="L43" s="253">
        <v>862.7902457852158</v>
      </c>
      <c r="M43" s="228">
        <v>13.481097590393997</v>
      </c>
      <c r="N43" s="233">
        <v>16423.212328521582</v>
      </c>
      <c r="O43" s="234">
        <v>4.714587304080726E-3</v>
      </c>
      <c r="P43" s="235">
        <v>200943.4647810453</v>
      </c>
      <c r="Q43" s="127">
        <v>60.9</v>
      </c>
      <c r="R43" s="93">
        <v>51.87</v>
      </c>
      <c r="S43" s="128">
        <v>17.829999999999998</v>
      </c>
      <c r="T43" s="263">
        <f>SUM(Q43:S43)</f>
        <v>130.6</v>
      </c>
      <c r="U43" s="96">
        <v>5</v>
      </c>
      <c r="V43" s="97">
        <v>5</v>
      </c>
      <c r="W43" s="130">
        <v>5</v>
      </c>
      <c r="X43" s="99">
        <f t="shared" si="3"/>
        <v>304.5</v>
      </c>
      <c r="Y43" s="100">
        <f t="shared" si="3"/>
        <v>259.34999999999997</v>
      </c>
      <c r="Z43" s="188">
        <f t="shared" si="3"/>
        <v>89.149999999999991</v>
      </c>
      <c r="AA43" s="150">
        <f t="shared" si="4"/>
        <v>652.99999999999989</v>
      </c>
      <c r="AB43" s="101">
        <f t="shared" si="5"/>
        <v>10.203124999999998</v>
      </c>
      <c r="AC43" s="154">
        <v>629.49</v>
      </c>
      <c r="AD43" s="103">
        <v>588.75</v>
      </c>
      <c r="AE43" s="104"/>
      <c r="AF43" s="105">
        <f t="shared" si="6"/>
        <v>1218.24</v>
      </c>
      <c r="AG43" s="96">
        <v>64</v>
      </c>
      <c r="AH43" s="152" t="s">
        <v>65</v>
      </c>
      <c r="AI43" s="221">
        <f t="shared" si="7"/>
        <v>4.9999999999999991</v>
      </c>
      <c r="AJ43" s="274">
        <f t="shared" si="8"/>
        <v>3.7499999999999991</v>
      </c>
      <c r="AK43" s="203">
        <v>0.75</v>
      </c>
      <c r="AL43" s="253">
        <f t="shared" si="9"/>
        <v>489.74999999999989</v>
      </c>
      <c r="AM43" s="228">
        <f t="shared" si="10"/>
        <v>7.6523437499999982</v>
      </c>
      <c r="AN43" s="233">
        <f t="shared" si="11"/>
        <v>9322.3912499999988</v>
      </c>
      <c r="AO43" s="234">
        <f t="shared" si="12"/>
        <v>3.0840476194256912E-3</v>
      </c>
      <c r="AP43" s="235">
        <f>SUM(AN41:AN46)</f>
        <v>114062.55733333332</v>
      </c>
      <c r="AQ43" s="382"/>
      <c r="AW43" s="382" t="s">
        <v>175</v>
      </c>
      <c r="AX43" s="397">
        <f>AX42*2505*12</f>
        <v>19952475.299999997</v>
      </c>
      <c r="AY43" s="357"/>
      <c r="AZ43" s="382" t="s">
        <v>175</v>
      </c>
      <c r="BA43" s="400">
        <f>BA42*2505*12</f>
        <v>16026789.599999998</v>
      </c>
      <c r="BC43" s="382" t="s">
        <v>175</v>
      </c>
      <c r="BD43" s="400">
        <f>BD42*2505*12</f>
        <v>3925685.6999999997</v>
      </c>
    </row>
    <row r="44" spans="1:56" ht="14.15" customHeight="1" x14ac:dyDescent="0.35">
      <c r="A44" s="519"/>
      <c r="B44" s="73">
        <v>9194</v>
      </c>
      <c r="C44" s="43"/>
      <c r="D44" s="91" t="s">
        <v>139</v>
      </c>
      <c r="E44" s="127">
        <v>72.588078799481252</v>
      </c>
      <c r="F44" s="93">
        <v>147.9317242018156</v>
      </c>
      <c r="G44" s="128">
        <v>9.5575958747607004</v>
      </c>
      <c r="H44" s="129">
        <v>230.07739887605754</v>
      </c>
      <c r="I44" s="221">
        <v>5</v>
      </c>
      <c r="J44" s="274">
        <v>3.75</v>
      </c>
      <c r="K44" s="203">
        <v>0.75</v>
      </c>
      <c r="L44" s="253">
        <v>862.7902457852158</v>
      </c>
      <c r="M44" s="228">
        <v>9.5865582865023971</v>
      </c>
      <c r="N44" s="233">
        <v>20399.141512265585</v>
      </c>
      <c r="O44" s="234">
        <v>5.8559514219305581E-3</v>
      </c>
      <c r="P44" s="238">
        <v>5.7684543616930178E-2</v>
      </c>
      <c r="Q44" s="127">
        <v>60.9</v>
      </c>
      <c r="R44" s="93">
        <v>51.87</v>
      </c>
      <c r="S44" s="128">
        <v>17.829999999999998</v>
      </c>
      <c r="T44" s="263">
        <f>SUM(Q44:S44)</f>
        <v>130.6</v>
      </c>
      <c r="U44" s="96">
        <v>5</v>
      </c>
      <c r="V44" s="97">
        <v>5</v>
      </c>
      <c r="W44" s="130">
        <v>5</v>
      </c>
      <c r="X44" s="99">
        <f t="shared" si="3"/>
        <v>304.5</v>
      </c>
      <c r="Y44" s="100">
        <f t="shared" si="3"/>
        <v>259.34999999999997</v>
      </c>
      <c r="Z44" s="188">
        <f t="shared" si="3"/>
        <v>89.149999999999991</v>
      </c>
      <c r="AA44" s="150">
        <f t="shared" si="4"/>
        <v>652.99999999999989</v>
      </c>
      <c r="AB44" s="101">
        <f t="shared" si="5"/>
        <v>7.2555555555555546</v>
      </c>
      <c r="AC44" s="154">
        <v>767.14</v>
      </c>
      <c r="AD44" s="103">
        <v>1360.75</v>
      </c>
      <c r="AE44" s="104"/>
      <c r="AF44" s="89">
        <f t="shared" si="6"/>
        <v>2127.89</v>
      </c>
      <c r="AG44" s="96">
        <v>90</v>
      </c>
      <c r="AH44" s="152" t="s">
        <v>65</v>
      </c>
      <c r="AI44" s="221">
        <f t="shared" si="7"/>
        <v>4.9999999999999991</v>
      </c>
      <c r="AJ44" s="274">
        <f t="shared" si="8"/>
        <v>3.7499999999999991</v>
      </c>
      <c r="AK44" s="203">
        <v>0.75</v>
      </c>
      <c r="AL44" s="253">
        <f t="shared" si="9"/>
        <v>489.74999999999989</v>
      </c>
      <c r="AM44" s="228">
        <f t="shared" si="10"/>
        <v>5.4416666666666655</v>
      </c>
      <c r="AN44" s="233">
        <f t="shared" si="11"/>
        <v>11579.268083333331</v>
      </c>
      <c r="AO44" s="234">
        <f t="shared" si="12"/>
        <v>3.8306710380875777E-3</v>
      </c>
      <c r="AP44" s="238">
        <f>SUM(AO41:AO46)</f>
        <v>3.7734348299259923E-2</v>
      </c>
      <c r="AQ44" s="381"/>
      <c r="AW44" s="381" t="s">
        <v>176</v>
      </c>
      <c r="AX44" s="398">
        <f>AX43*0.77</f>
        <v>15363405.980999999</v>
      </c>
      <c r="AY44" s="357"/>
      <c r="AZ44" s="381" t="s">
        <v>176</v>
      </c>
      <c r="BA44" s="401">
        <f>BA43*0.77</f>
        <v>12340627.991999999</v>
      </c>
      <c r="BC44" s="381" t="s">
        <v>176</v>
      </c>
      <c r="BD44" s="401">
        <f>BD43*0.77</f>
        <v>3022777.9890000001</v>
      </c>
    </row>
    <row r="45" spans="1:56" ht="14.15" customHeight="1" x14ac:dyDescent="0.35">
      <c r="A45" s="519"/>
      <c r="B45" s="73">
        <v>9195</v>
      </c>
      <c r="C45" s="43"/>
      <c r="D45" s="91" t="s">
        <v>140</v>
      </c>
      <c r="E45" s="127">
        <v>0</v>
      </c>
      <c r="F45" s="93">
        <v>0</v>
      </c>
      <c r="G45" s="128">
        <v>0</v>
      </c>
      <c r="H45" s="129"/>
      <c r="I45" s="221"/>
      <c r="J45" s="274"/>
      <c r="K45" s="203" t="s">
        <v>2</v>
      </c>
      <c r="L45" s="253"/>
      <c r="M45" s="228"/>
      <c r="N45" s="233"/>
      <c r="O45" s="234"/>
      <c r="P45" s="240"/>
      <c r="Q45" s="127">
        <v>0</v>
      </c>
      <c r="R45" s="93">
        <v>0</v>
      </c>
      <c r="S45" s="128">
        <v>0</v>
      </c>
      <c r="T45" s="129"/>
      <c r="U45" s="96" t="s">
        <v>2</v>
      </c>
      <c r="V45" s="97" t="s">
        <v>2</v>
      </c>
      <c r="W45" s="130" t="s">
        <v>2</v>
      </c>
      <c r="X45" s="99"/>
      <c r="Y45" s="100"/>
      <c r="Z45" s="188"/>
      <c r="AA45" s="150"/>
      <c r="AB45" s="101"/>
      <c r="AC45" s="154"/>
      <c r="AD45" s="103"/>
      <c r="AE45" s="104"/>
      <c r="AF45" s="89"/>
      <c r="AG45" s="80">
        <v>0</v>
      </c>
      <c r="AH45" s="158" t="s">
        <v>67</v>
      </c>
      <c r="AI45" s="221"/>
      <c r="AJ45" s="274"/>
      <c r="AK45" s="203" t="s">
        <v>2</v>
      </c>
      <c r="AL45" s="253"/>
      <c r="AM45" s="228"/>
      <c r="AN45" s="233"/>
      <c r="AO45" s="234"/>
      <c r="AP45" s="240"/>
      <c r="AQ45" s="381"/>
      <c r="AW45" s="381" t="s">
        <v>177</v>
      </c>
      <c r="AX45" s="398">
        <f>AX43*0.23</f>
        <v>4589069.3189999992</v>
      </c>
      <c r="AY45" s="357"/>
      <c r="AZ45" s="381" t="s">
        <v>177</v>
      </c>
      <c r="BA45" s="401">
        <f>BA43*0.23</f>
        <v>3686161.6079999995</v>
      </c>
      <c r="BC45" s="381" t="s">
        <v>177</v>
      </c>
      <c r="BD45" s="401">
        <f>BD43*0.23</f>
        <v>902907.71100000001</v>
      </c>
    </row>
    <row r="46" spans="1:56" ht="14.15" customHeight="1" x14ac:dyDescent="0.35">
      <c r="A46" s="520"/>
      <c r="B46" s="74">
        <v>9500</v>
      </c>
      <c r="C46" s="44"/>
      <c r="D46" s="106" t="s">
        <v>141</v>
      </c>
      <c r="E46" s="132">
        <v>0</v>
      </c>
      <c r="F46" s="133">
        <v>1</v>
      </c>
      <c r="G46" s="134">
        <v>0</v>
      </c>
      <c r="H46" s="186">
        <v>1</v>
      </c>
      <c r="I46" s="222">
        <v>1</v>
      </c>
      <c r="J46" s="232"/>
      <c r="K46" s="204"/>
      <c r="L46" s="267"/>
      <c r="M46" s="268"/>
      <c r="N46" s="241"/>
      <c r="O46" s="248"/>
      <c r="P46" s="239"/>
      <c r="Q46" s="132">
        <v>0</v>
      </c>
      <c r="R46" s="133"/>
      <c r="S46" s="134"/>
      <c r="T46" s="186"/>
      <c r="U46" s="135" t="s">
        <v>2</v>
      </c>
      <c r="V46" s="136">
        <v>1</v>
      </c>
      <c r="W46" s="137" t="s">
        <v>2</v>
      </c>
      <c r="X46" s="166"/>
      <c r="Y46" s="167">
        <f>R46*V46</f>
        <v>0</v>
      </c>
      <c r="Z46" s="271"/>
      <c r="AA46" s="168">
        <f t="shared" si="4"/>
        <v>0</v>
      </c>
      <c r="AB46" s="179">
        <f t="shared" si="5"/>
        <v>0</v>
      </c>
      <c r="AC46" s="162"/>
      <c r="AD46" s="108"/>
      <c r="AE46" s="109"/>
      <c r="AF46" s="272"/>
      <c r="AG46" s="135">
        <v>1</v>
      </c>
      <c r="AH46" s="161" t="s">
        <v>142</v>
      </c>
      <c r="AI46" s="222"/>
      <c r="AJ46" s="232"/>
      <c r="AK46" s="204"/>
      <c r="AL46" s="267"/>
      <c r="AM46" s="268"/>
      <c r="AN46" s="241"/>
      <c r="AO46" s="248"/>
      <c r="AP46" s="239"/>
      <c r="AQ46" s="381"/>
      <c r="AW46" s="381"/>
      <c r="AX46" s="399">
        <f>SUM(AX44:AX45)</f>
        <v>19952475.299999997</v>
      </c>
      <c r="AY46" s="357"/>
      <c r="AZ46" s="381"/>
      <c r="BA46" s="399">
        <f>SUM(BA44:BA45)</f>
        <v>16026789.599999998</v>
      </c>
      <c r="BC46" s="381"/>
      <c r="BD46" s="399">
        <f>SUM(BD44:BD45)</f>
        <v>3925685.7</v>
      </c>
    </row>
    <row r="47" spans="1:56" ht="14.25" customHeight="1" x14ac:dyDescent="0.35">
      <c r="A47" s="26"/>
      <c r="B47" s="27"/>
      <c r="C47" s="46"/>
      <c r="D47" s="26"/>
      <c r="E47" s="27"/>
      <c r="F47" s="27"/>
      <c r="G47" s="27"/>
      <c r="H47" s="27"/>
      <c r="I47" s="47"/>
      <c r="J47" s="47"/>
      <c r="K47" s="47"/>
      <c r="L47" s="47"/>
      <c r="M47" s="47"/>
      <c r="Q47" s="27"/>
      <c r="R47" s="27"/>
      <c r="S47" s="27"/>
      <c r="T47" s="27"/>
      <c r="U47" s="27"/>
      <c r="V47" s="27"/>
      <c r="W47" s="27"/>
      <c r="X47" s="26"/>
      <c r="Y47" s="26"/>
      <c r="Z47" s="26"/>
      <c r="AA47" s="26"/>
      <c r="AB47" s="26"/>
      <c r="AF47" s="47"/>
      <c r="AG47" s="47"/>
      <c r="AH47" s="47"/>
      <c r="AI47" s="47"/>
      <c r="AJ47" s="47"/>
      <c r="AK47" s="47"/>
      <c r="AL47" s="47"/>
      <c r="AM47" s="47"/>
      <c r="AQ47" s="457">
        <f>'[1]S Curve Niah Cumulative'!$E$15</f>
        <v>159328.4745057309</v>
      </c>
      <c r="AR47" s="457"/>
    </row>
    <row r="48" spans="1:56" ht="14.25" hidden="1" customHeight="1" x14ac:dyDescent="0.35">
      <c r="A48" s="521" t="s">
        <v>143</v>
      </c>
      <c r="B48" s="522"/>
      <c r="C48" s="522"/>
      <c r="D48" s="522"/>
      <c r="E48" s="522"/>
      <c r="F48" s="522"/>
      <c r="G48" s="522"/>
      <c r="H48" s="522"/>
      <c r="I48" s="522"/>
      <c r="J48" s="522"/>
      <c r="K48" s="522"/>
      <c r="L48" s="522"/>
      <c r="M48" s="522"/>
      <c r="N48" s="522"/>
      <c r="O48" s="522"/>
      <c r="P48" s="522"/>
      <c r="Q48" s="522"/>
      <c r="R48" s="522"/>
      <c r="S48" s="522"/>
      <c r="T48" s="522"/>
      <c r="U48" s="522"/>
      <c r="V48" s="522"/>
      <c r="W48" s="522"/>
      <c r="X48" s="522"/>
      <c r="Y48" s="522"/>
      <c r="Z48" s="522"/>
      <c r="AA48" s="522"/>
      <c r="AB48" s="522"/>
      <c r="AC48" s="522"/>
      <c r="AD48" s="522"/>
      <c r="AE48" s="522"/>
      <c r="AF48" s="522"/>
      <c r="AG48" s="522"/>
      <c r="AH48" s="522"/>
      <c r="AI48" s="522"/>
      <c r="AJ48" s="522"/>
      <c r="AK48" s="522"/>
      <c r="AL48" s="522"/>
      <c r="AM48" s="522"/>
      <c r="AN48" s="49">
        <f>SUM(AN9:AN46)</f>
        <v>3022777.985424235</v>
      </c>
      <c r="AO48" s="50">
        <f>SUM(AO9:AO46)</f>
        <v>0.99999999999999989</v>
      </c>
      <c r="AP48" s="252"/>
      <c r="AQ48" s="457">
        <f>BD44</f>
        <v>3022777.9890000001</v>
      </c>
      <c r="AR48" s="457"/>
      <c r="AS48" s="357"/>
      <c r="AT48" s="333"/>
      <c r="AU48"/>
    </row>
    <row r="49" spans="1:52" ht="14.25" hidden="1" customHeight="1" x14ac:dyDescent="0.35">
      <c r="A49" s="51"/>
      <c r="B49" s="51"/>
      <c r="C49" s="51"/>
      <c r="D49" s="51"/>
      <c r="E49" s="51"/>
      <c r="F49" s="51"/>
      <c r="G49" s="51"/>
      <c r="H49" s="51"/>
      <c r="I49" s="52"/>
      <c r="J49" s="52"/>
      <c r="K49" s="52"/>
      <c r="L49" s="52"/>
      <c r="M49" s="52"/>
      <c r="N49" s="52"/>
      <c r="P49" s="249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P49" s="249"/>
      <c r="AQ49" s="457" t="s">
        <v>207</v>
      </c>
      <c r="AR49" s="457" t="s">
        <v>208</v>
      </c>
      <c r="AS49" s="357"/>
      <c r="AT49" s="333"/>
      <c r="AU49"/>
    </row>
    <row r="50" spans="1:52" ht="4.5" hidden="1" customHeight="1" x14ac:dyDescent="0.35">
      <c r="A50" s="51"/>
      <c r="B50" s="51"/>
      <c r="C50" s="51"/>
      <c r="D50" s="51"/>
      <c r="E50" s="51"/>
      <c r="F50" s="51"/>
      <c r="G50" s="51"/>
      <c r="H50" s="51"/>
      <c r="I50" s="327"/>
      <c r="J50" s="328"/>
      <c r="K50" s="327"/>
      <c r="L50" s="327"/>
      <c r="M50" s="327"/>
      <c r="N50" s="327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327"/>
      <c r="AC50" s="327"/>
      <c r="AD50" s="328"/>
      <c r="AE50" s="327"/>
      <c r="AF50" s="327"/>
      <c r="AG50" s="327"/>
      <c r="AH50" s="328"/>
      <c r="AI50" s="327"/>
      <c r="AJ50" s="328"/>
      <c r="AK50" s="327"/>
      <c r="AL50" s="327"/>
      <c r="AM50" s="327"/>
      <c r="AN50" s="327"/>
      <c r="AQ50" s="457"/>
      <c r="AR50" s="457"/>
      <c r="AS50" s="358"/>
      <c r="AT50" s="334"/>
      <c r="AU50"/>
    </row>
    <row r="51" spans="1:52" ht="9" hidden="1" customHeight="1" x14ac:dyDescent="0.35">
      <c r="A51" s="570" t="s">
        <v>144</v>
      </c>
      <c r="B51" s="572" t="s">
        <v>4</v>
      </c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4" t="s">
        <v>145</v>
      </c>
      <c r="T51" s="576" t="s">
        <v>296</v>
      </c>
      <c r="U51" s="576"/>
      <c r="V51" s="576"/>
      <c r="W51" s="576"/>
      <c r="X51" s="576"/>
      <c r="Y51" s="576"/>
      <c r="AA51" s="304" t="s">
        <v>147</v>
      </c>
      <c r="AB51" s="305"/>
      <c r="AC51" s="305"/>
      <c r="AD51" s="305"/>
      <c r="AE51" s="304" t="s">
        <v>148</v>
      </c>
      <c r="AF51" s="305"/>
      <c r="AG51" s="305"/>
      <c r="AH51" s="305"/>
      <c r="AI51" s="306"/>
      <c r="AJ51" s="304" t="s">
        <v>149</v>
      </c>
      <c r="AK51" s="305"/>
      <c r="AL51" s="305"/>
      <c r="AM51" s="306"/>
      <c r="AN51" s="304" t="s">
        <v>297</v>
      </c>
      <c r="AO51" s="305"/>
      <c r="AP51" s="306"/>
      <c r="AQ51" s="457">
        <f>BD44-AN48</f>
        <v>3.5757650621235371E-3</v>
      </c>
      <c r="AR51" s="457">
        <f>AQ51/BD44*100</f>
        <v>1.1829400224349513E-7</v>
      </c>
      <c r="AW51" s="378" t="s">
        <v>209</v>
      </c>
      <c r="AX51" s="358"/>
      <c r="AY51" s="334"/>
    </row>
    <row r="52" spans="1:52" hidden="1" x14ac:dyDescent="0.35">
      <c r="A52" s="571"/>
      <c r="B52" s="573"/>
      <c r="C52" s="573"/>
      <c r="D52" s="573"/>
      <c r="E52" s="573"/>
      <c r="F52" s="573"/>
      <c r="G52" s="573"/>
      <c r="H52" s="573"/>
      <c r="I52" s="573"/>
      <c r="J52" s="573"/>
      <c r="K52" s="573"/>
      <c r="L52" s="573"/>
      <c r="M52" s="573"/>
      <c r="N52" s="573"/>
      <c r="O52" s="573"/>
      <c r="P52" s="573"/>
      <c r="Q52" s="573"/>
      <c r="R52" s="575"/>
      <c r="S52" s="53"/>
      <c r="T52" s="576"/>
      <c r="U52" s="576"/>
      <c r="V52" s="576"/>
      <c r="W52" s="576"/>
      <c r="X52" s="576"/>
      <c r="Y52" s="576"/>
      <c r="AA52" s="577" t="s">
        <v>150</v>
      </c>
      <c r="AB52" s="578"/>
      <c r="AC52" s="578"/>
      <c r="AD52" s="579"/>
      <c r="AE52" s="577" t="s">
        <v>151</v>
      </c>
      <c r="AF52" s="578"/>
      <c r="AG52" s="578"/>
      <c r="AH52" s="578"/>
      <c r="AI52" s="579"/>
      <c r="AJ52" s="577" t="s">
        <v>152</v>
      </c>
      <c r="AK52" s="578"/>
      <c r="AL52" s="578"/>
      <c r="AM52" s="579"/>
      <c r="AN52" s="577" t="s">
        <v>298</v>
      </c>
      <c r="AO52" s="578"/>
      <c r="AP52" s="579"/>
      <c r="AW52" s="378"/>
      <c r="AX52" s="358" t="s">
        <v>210</v>
      </c>
      <c r="AY52" s="334"/>
    </row>
    <row r="53" spans="1:52" ht="24" hidden="1" customHeight="1" x14ac:dyDescent="0.35">
      <c r="A53" s="307"/>
      <c r="B53" s="580"/>
      <c r="C53" s="580"/>
      <c r="D53" s="580"/>
      <c r="E53" s="580"/>
      <c r="F53" s="580"/>
      <c r="G53" s="580"/>
      <c r="H53" s="580"/>
      <c r="I53" s="580"/>
      <c r="J53" s="580"/>
      <c r="K53" s="580"/>
      <c r="L53" s="580"/>
      <c r="M53" s="580"/>
      <c r="N53" s="580"/>
      <c r="O53" s="580"/>
      <c r="P53" s="580"/>
      <c r="Q53" s="580"/>
      <c r="R53" s="308"/>
      <c r="S53" s="53"/>
      <c r="T53" s="581" t="s">
        <v>153</v>
      </c>
      <c r="U53" s="582"/>
      <c r="V53" s="582"/>
      <c r="W53" s="582"/>
      <c r="X53" s="583">
        <f>AN9+AN10</f>
        <v>35520.506334999998</v>
      </c>
      <c r="Y53" s="584"/>
      <c r="AA53" s="462" t="s">
        <v>154</v>
      </c>
      <c r="AB53" s="463"/>
      <c r="AC53" s="463"/>
      <c r="AD53" s="464"/>
      <c r="AE53" s="465" t="s">
        <v>154</v>
      </c>
      <c r="AF53" s="463"/>
      <c r="AG53" s="463"/>
      <c r="AH53" s="463"/>
      <c r="AI53" s="464"/>
      <c r="AJ53" s="462" t="s">
        <v>154</v>
      </c>
      <c r="AK53" s="463"/>
      <c r="AL53" s="463"/>
      <c r="AM53" s="464"/>
      <c r="AN53" s="462" t="s">
        <v>154</v>
      </c>
      <c r="AO53" s="466"/>
      <c r="AP53" s="467"/>
      <c r="AW53" s="378" t="s">
        <v>211</v>
      </c>
      <c r="AX53" s="358">
        <v>1</v>
      </c>
      <c r="AY53" s="334">
        <v>2</v>
      </c>
      <c r="AZ53">
        <v>3</v>
      </c>
    </row>
    <row r="54" spans="1:52" ht="24" hidden="1" customHeight="1" x14ac:dyDescent="0.35">
      <c r="A54" s="307"/>
      <c r="B54" s="580"/>
      <c r="C54" s="580"/>
      <c r="D54" s="580"/>
      <c r="E54" s="580"/>
      <c r="F54" s="580"/>
      <c r="G54" s="580"/>
      <c r="H54" s="580"/>
      <c r="I54" s="580"/>
      <c r="J54" s="580"/>
      <c r="K54" s="580"/>
      <c r="L54" s="580"/>
      <c r="M54" s="580"/>
      <c r="N54" s="580"/>
      <c r="O54" s="580"/>
      <c r="P54" s="580"/>
      <c r="Q54" s="580"/>
      <c r="R54" s="312"/>
      <c r="S54" s="53"/>
      <c r="T54" s="585" t="s">
        <v>155</v>
      </c>
      <c r="U54" s="586"/>
      <c r="V54" s="586"/>
      <c r="W54" s="586"/>
      <c r="X54" s="587">
        <f>AN18+AN22+AN23+AN24+AN27+AN28+AN31+AN33+AN36+AN37+AN38</f>
        <v>994133.97858599946</v>
      </c>
      <c r="Y54" s="588"/>
      <c r="AA54" s="468"/>
      <c r="AB54" s="463"/>
      <c r="AC54" s="463"/>
      <c r="AD54" s="464"/>
      <c r="AE54" s="463"/>
      <c r="AF54" s="463"/>
      <c r="AG54" s="463"/>
      <c r="AH54" s="463"/>
      <c r="AI54" s="464"/>
      <c r="AJ54" s="468"/>
      <c r="AK54" s="463"/>
      <c r="AL54" s="463"/>
      <c r="AM54" s="464"/>
      <c r="AN54" s="469"/>
      <c r="AO54" s="466"/>
      <c r="AP54" s="467"/>
      <c r="AW54" s="378" t="s">
        <v>212</v>
      </c>
      <c r="AX54" s="358">
        <v>58.7</v>
      </c>
      <c r="AY54" s="334">
        <v>23.44</v>
      </c>
      <c r="AZ54">
        <v>13.13</v>
      </c>
    </row>
    <row r="55" spans="1:52" ht="24" hidden="1" customHeight="1" x14ac:dyDescent="0.35">
      <c r="A55" s="314"/>
      <c r="B55" s="589"/>
      <c r="C55" s="589"/>
      <c r="D55" s="589"/>
      <c r="E55" s="589"/>
      <c r="F55" s="589"/>
      <c r="G55" s="589"/>
      <c r="H55" s="589"/>
      <c r="I55" s="589"/>
      <c r="J55" s="589"/>
      <c r="K55" s="589"/>
      <c r="L55" s="589"/>
      <c r="M55" s="589"/>
      <c r="N55" s="589"/>
      <c r="O55" s="589"/>
      <c r="P55" s="589"/>
      <c r="Q55" s="589"/>
      <c r="R55" s="312"/>
      <c r="S55" s="59"/>
      <c r="T55" s="585" t="s">
        <v>156</v>
      </c>
      <c r="U55" s="586"/>
      <c r="V55" s="586"/>
      <c r="W55" s="586"/>
      <c r="X55" s="587">
        <f>AN11+AN12+AN13+AN14+AN15+AN16+AN17+AN19+AN20+AN21+AN25+AN26+AN29+AN30+AN32+AN34+AN35+AN39+AN40</f>
        <v>1879060.9431699011</v>
      </c>
      <c r="Y55" s="588"/>
      <c r="Z55" s="54"/>
      <c r="AA55" s="470"/>
      <c r="AB55" s="471"/>
      <c r="AC55" s="471"/>
      <c r="AD55" s="472"/>
      <c r="AE55" s="604"/>
      <c r="AF55" s="604"/>
      <c r="AG55" s="604"/>
      <c r="AH55" s="604"/>
      <c r="AI55" s="605"/>
      <c r="AJ55" s="468"/>
      <c r="AK55" s="463"/>
      <c r="AL55" s="463"/>
      <c r="AM55" s="464"/>
      <c r="AN55" s="469"/>
      <c r="AO55" s="466"/>
      <c r="AP55" s="467"/>
      <c r="AW55" s="378"/>
      <c r="AX55" s="358"/>
      <c r="AY55" s="334"/>
    </row>
    <row r="56" spans="1:52" ht="24" hidden="1" customHeight="1" x14ac:dyDescent="0.35">
      <c r="A56" s="318"/>
      <c r="B56" s="593"/>
      <c r="C56" s="593"/>
      <c r="D56" s="593"/>
      <c r="E56" s="593"/>
      <c r="F56" s="593"/>
      <c r="G56" s="593"/>
      <c r="H56" s="593"/>
      <c r="I56" s="593"/>
      <c r="J56" s="593"/>
      <c r="K56" s="593"/>
      <c r="L56" s="593"/>
      <c r="M56" s="593"/>
      <c r="N56" s="593"/>
      <c r="O56" s="593"/>
      <c r="P56" s="593"/>
      <c r="Q56" s="593"/>
      <c r="R56" s="319"/>
      <c r="S56" s="59"/>
      <c r="T56" s="594" t="s">
        <v>157</v>
      </c>
      <c r="U56" s="595"/>
      <c r="V56" s="595"/>
      <c r="W56" s="595"/>
      <c r="X56" s="596">
        <f>AN41+AN42+AN43+AN44+AN45+AN46</f>
        <v>114062.55733333332</v>
      </c>
      <c r="Y56" s="597"/>
      <c r="Z56" s="54"/>
      <c r="AA56" s="473"/>
      <c r="AB56" s="474"/>
      <c r="AC56" s="474"/>
      <c r="AD56" s="474"/>
      <c r="AE56" s="606"/>
      <c r="AF56" s="607"/>
      <c r="AG56" s="607"/>
      <c r="AH56" s="607"/>
      <c r="AI56" s="608"/>
      <c r="AJ56" s="475"/>
      <c r="AK56" s="476"/>
      <c r="AL56" s="476"/>
      <c r="AM56" s="477"/>
      <c r="AN56" s="478"/>
      <c r="AO56" s="479"/>
      <c r="AP56" s="480"/>
      <c r="AW56" s="378"/>
      <c r="AX56" s="357" t="s">
        <v>213</v>
      </c>
      <c r="AY56" s="333"/>
    </row>
    <row r="57" spans="1:52" hidden="1" x14ac:dyDescent="0.35">
      <c r="A57" s="55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AI57" s="56"/>
      <c r="AJ57" s="56"/>
      <c r="AK57" s="56"/>
      <c r="AL57" s="56"/>
      <c r="AM57" s="56"/>
      <c r="AN57" s="56"/>
      <c r="AO57" s="56"/>
      <c r="AP57" s="56"/>
      <c r="AW57" s="378"/>
      <c r="AX57" s="357" t="s">
        <v>169</v>
      </c>
      <c r="AY57" s="333" t="s">
        <v>214</v>
      </c>
    </row>
    <row r="58" spans="1:52" x14ac:dyDescent="0.35">
      <c r="A58" s="55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AH58" s="56"/>
      <c r="AI58" s="56"/>
      <c r="AJ58" s="56"/>
      <c r="AK58" s="56"/>
      <c r="AL58" s="56"/>
      <c r="AM58" s="56"/>
      <c r="AN58" s="56"/>
      <c r="AO58" s="56"/>
      <c r="AP58" s="56"/>
      <c r="AW58" s="378"/>
      <c r="AX58" s="378"/>
      <c r="AY58" s="357"/>
      <c r="AZ58" s="333"/>
    </row>
    <row r="59" spans="1:52" x14ac:dyDescent="0.35">
      <c r="T59" s="576" t="s">
        <v>296</v>
      </c>
      <c r="U59" s="576"/>
      <c r="V59" s="576"/>
      <c r="W59" s="576"/>
      <c r="X59" s="576"/>
      <c r="Y59" s="576"/>
    </row>
    <row r="60" spans="1:52" x14ac:dyDescent="0.35">
      <c r="G60" s="57"/>
      <c r="S60" s="57"/>
      <c r="T60" s="576"/>
      <c r="U60" s="576"/>
      <c r="V60" s="576"/>
      <c r="W60" s="576"/>
      <c r="X60" s="576"/>
      <c r="Y60" s="576"/>
      <c r="AR60" s="378" t="s">
        <v>215</v>
      </c>
    </row>
    <row r="61" spans="1:52" x14ac:dyDescent="0.35">
      <c r="G61" s="58"/>
      <c r="S61" s="58"/>
      <c r="T61" s="581" t="s">
        <v>153</v>
      </c>
      <c r="U61" s="582"/>
      <c r="V61" s="582"/>
      <c r="W61" s="582"/>
      <c r="X61" s="583">
        <v>52565.29</v>
      </c>
      <c r="Y61" s="584"/>
      <c r="Z61" s="461">
        <f>X53-X61</f>
        <v>-17044.783665000003</v>
      </c>
      <c r="AR61" s="378">
        <v>3013</v>
      </c>
      <c r="AS61" s="378">
        <v>4034</v>
      </c>
      <c r="AT61" s="357">
        <v>7074</v>
      </c>
    </row>
    <row r="62" spans="1:52" x14ac:dyDescent="0.35">
      <c r="G62" s="58"/>
      <c r="S62" s="58"/>
      <c r="T62" s="585" t="s">
        <v>155</v>
      </c>
      <c r="U62" s="586"/>
      <c r="V62" s="586"/>
      <c r="W62" s="586"/>
      <c r="X62" s="587">
        <v>1012637.61</v>
      </c>
      <c r="Y62" s="588"/>
      <c r="Z62" s="461">
        <f>X54-X62</f>
        <v>-18503.631414000527</v>
      </c>
      <c r="AR62" s="378">
        <f>AL11</f>
        <v>14.28336</v>
      </c>
      <c r="AS62" s="378">
        <f>AL30</f>
        <v>7.3942401000000002</v>
      </c>
      <c r="AT62" s="366">
        <f>AL39/1000</f>
        <v>2.4942200000000003</v>
      </c>
    </row>
    <row r="63" spans="1:52" x14ac:dyDescent="0.35">
      <c r="G63" s="58"/>
      <c r="S63" s="58"/>
      <c r="T63" s="585" t="s">
        <v>156</v>
      </c>
      <c r="U63" s="586"/>
      <c r="V63" s="586"/>
      <c r="W63" s="586"/>
      <c r="X63" s="587">
        <v>2217342.4900000002</v>
      </c>
      <c r="Y63" s="588"/>
      <c r="Z63" s="461">
        <f>X55-X63</f>
        <v>-338281.54683009908</v>
      </c>
      <c r="AQ63" s="378" t="s">
        <v>216</v>
      </c>
      <c r="AR63" s="378">
        <f>AR62/8</f>
        <v>1.78542</v>
      </c>
      <c r="AS63" s="378">
        <f>AS62/4</f>
        <v>1.8485600250000001</v>
      </c>
      <c r="AT63" s="428">
        <f>AT62/0.6</f>
        <v>4.1570333333333345</v>
      </c>
    </row>
    <row r="64" spans="1:52" x14ac:dyDescent="0.35">
      <c r="G64" s="58"/>
      <c r="S64" s="58"/>
      <c r="T64" s="594" t="s">
        <v>157</v>
      </c>
      <c r="U64" s="595"/>
      <c r="V64" s="595"/>
      <c r="W64" s="595"/>
      <c r="X64" s="596">
        <v>200943.46</v>
      </c>
      <c r="Y64" s="597"/>
      <c r="Z64" s="461">
        <f>X56-X64</f>
        <v>-86880.902666666676</v>
      </c>
    </row>
    <row r="65" spans="7:52" x14ac:dyDescent="0.35">
      <c r="G65" s="58"/>
      <c r="S65" s="58"/>
      <c r="X65" s="601">
        <f>SUM(X61:Y64)</f>
        <v>3483488.85</v>
      </c>
      <c r="Y65" s="601"/>
    </row>
    <row r="66" spans="7:52" x14ac:dyDescent="0.35">
      <c r="G66" s="58"/>
      <c r="S66" s="58"/>
      <c r="X66" s="602">
        <v>3022777.99</v>
      </c>
      <c r="Y66" s="602"/>
    </row>
    <row r="67" spans="7:52" ht="18" customHeight="1" x14ac:dyDescent="0.35">
      <c r="G67" s="58"/>
      <c r="S67" s="58"/>
      <c r="X67" s="603">
        <f>X66-X65</f>
        <v>-460710.85999999987</v>
      </c>
      <c r="Y67" s="603"/>
      <c r="Z67" s="460">
        <f>X67/X65</f>
        <v>-0.13225558623504705</v>
      </c>
      <c r="AR67" s="381" t="s">
        <v>217</v>
      </c>
      <c r="AS67" s="357" t="s">
        <v>218</v>
      </c>
      <c r="AT67" s="333" t="s">
        <v>219</v>
      </c>
      <c r="AU67" t="s">
        <v>220</v>
      </c>
      <c r="AW67" s="381" t="s">
        <v>221</v>
      </c>
      <c r="AX67" s="357" t="s">
        <v>218</v>
      </c>
      <c r="AY67" s="333" t="s">
        <v>219</v>
      </c>
      <c r="AZ67" t="s">
        <v>220</v>
      </c>
    </row>
    <row r="68" spans="7:52" x14ac:dyDescent="0.35">
      <c r="G68" s="58"/>
      <c r="S68" s="58"/>
      <c r="AR68" s="381">
        <v>2020</v>
      </c>
      <c r="AS68" s="357">
        <f>6.95+6.45</f>
        <v>13.4</v>
      </c>
      <c r="AT68" s="333">
        <f>50.1+52</f>
        <v>102.1</v>
      </c>
      <c r="AU68">
        <f>7+8.2</f>
        <v>15.2</v>
      </c>
      <c r="AW68" s="381"/>
      <c r="AX68" s="357">
        <f>2.8+5.34</f>
        <v>8.14</v>
      </c>
      <c r="AY68" s="333">
        <f>6.1+5.7</f>
        <v>11.8</v>
      </c>
      <c r="AZ68">
        <f>0.2+0.2</f>
        <v>0.4</v>
      </c>
    </row>
    <row r="69" spans="7:52" x14ac:dyDescent="0.35">
      <c r="G69" s="58"/>
      <c r="S69" s="58"/>
      <c r="AR69" s="381" t="s">
        <v>222</v>
      </c>
      <c r="AS69" s="357">
        <f>5.7+7.1</f>
        <v>12.8</v>
      </c>
      <c r="AT69" s="333">
        <f>5.6+5.2</f>
        <v>10.8</v>
      </c>
      <c r="AU69">
        <v>0.5</v>
      </c>
      <c r="AW69" s="381" t="s">
        <v>222</v>
      </c>
      <c r="AX69" s="357">
        <f>2.8+2.1</f>
        <v>4.9000000000000004</v>
      </c>
      <c r="AY69" s="333"/>
    </row>
    <row r="70" spans="7:52" x14ac:dyDescent="0.35">
      <c r="G70" s="58"/>
      <c r="S70" s="58"/>
      <c r="AR70" s="381" t="s">
        <v>223</v>
      </c>
      <c r="AS70" s="357">
        <f>AS68+AS69</f>
        <v>26.200000000000003</v>
      </c>
      <c r="AT70" s="357">
        <f>AT68+AT69</f>
        <v>112.89999999999999</v>
      </c>
      <c r="AU70" s="357">
        <f>AU68+AU69</f>
        <v>15.7</v>
      </c>
      <c r="AW70" s="381" t="s">
        <v>223</v>
      </c>
      <c r="AX70" s="357">
        <f>AX68+AX69</f>
        <v>13.040000000000001</v>
      </c>
      <c r="AY70" s="357">
        <f>AY68+AY69</f>
        <v>11.8</v>
      </c>
      <c r="AZ70" s="357">
        <f>AZ68+AZ69</f>
        <v>0.4</v>
      </c>
    </row>
    <row r="71" spans="7:52" x14ac:dyDescent="0.35">
      <c r="G71" s="58"/>
      <c r="S71" s="58"/>
      <c r="AR71" s="381" t="s">
        <v>224</v>
      </c>
      <c r="AS71" s="357">
        <f>2.6+3.8</f>
        <v>6.4</v>
      </c>
      <c r="AT71" s="333">
        <f>12.7+10.5</f>
        <v>23.2</v>
      </c>
      <c r="AU71">
        <f>3.7+4.4</f>
        <v>8.1000000000000014</v>
      </c>
      <c r="AW71" s="381" t="s">
        <v>224</v>
      </c>
      <c r="AX71">
        <f>2.4+2.5</f>
        <v>4.9000000000000004</v>
      </c>
      <c r="AY71">
        <f>5.8+5.7</f>
        <v>11.5</v>
      </c>
      <c r="AZ71">
        <f>0.2+0.2</f>
        <v>0.4</v>
      </c>
    </row>
    <row r="72" spans="7:52" x14ac:dyDescent="0.35">
      <c r="G72" s="58"/>
      <c r="S72" s="58"/>
      <c r="AR72" s="381" t="s">
        <v>225</v>
      </c>
      <c r="AS72" s="357">
        <f>2.8+2.8</f>
        <v>5.6</v>
      </c>
      <c r="AT72" s="333">
        <f>6.9*2</f>
        <v>13.8</v>
      </c>
      <c r="AU72">
        <f>2.5+2.5</f>
        <v>5</v>
      </c>
      <c r="AW72" s="381" t="s">
        <v>226</v>
      </c>
      <c r="AX72">
        <f>AX70-4.9</f>
        <v>8.14</v>
      </c>
      <c r="AY72">
        <v>0.3</v>
      </c>
    </row>
    <row r="73" spans="7:52" x14ac:dyDescent="0.35">
      <c r="G73" s="58"/>
      <c r="S73" s="58"/>
      <c r="AR73" s="381"/>
      <c r="AS73" s="357">
        <f>AS70-AS71+AS72</f>
        <v>25.400000000000006</v>
      </c>
      <c r="AT73" s="357">
        <f>AT70-AT71+AT72</f>
        <v>103.49999999999999</v>
      </c>
      <c r="AU73" s="357">
        <f>AU70-AU71+AU72</f>
        <v>12.599999999999998</v>
      </c>
      <c r="AW73" s="381"/>
    </row>
    <row r="74" spans="7:52" x14ac:dyDescent="0.35">
      <c r="G74" s="58"/>
      <c r="S74" s="58"/>
      <c r="AR74" s="381"/>
      <c r="AS74" s="357"/>
      <c r="AT74" s="333"/>
      <c r="AU74"/>
      <c r="AX74">
        <f>AS73+AX72</f>
        <v>33.540000000000006</v>
      </c>
      <c r="AY74">
        <f>AT73+AY72</f>
        <v>103.79999999999998</v>
      </c>
      <c r="AZ74">
        <f>AU73+AZ72</f>
        <v>12.599999999999998</v>
      </c>
    </row>
    <row r="75" spans="7:52" x14ac:dyDescent="0.35">
      <c r="G75" s="58"/>
      <c r="S75" s="58"/>
      <c r="AR75" s="381"/>
      <c r="AS75" s="357"/>
      <c r="AT75" s="333"/>
      <c r="AU75"/>
    </row>
    <row r="76" spans="7:52" x14ac:dyDescent="0.35">
      <c r="G76" s="58"/>
      <c r="S76" s="58"/>
      <c r="AR76" s="380" t="s">
        <v>213</v>
      </c>
      <c r="AS76" s="357" t="s">
        <v>227</v>
      </c>
      <c r="AT76" s="333" t="s">
        <v>228</v>
      </c>
      <c r="AU76" s="380" t="s">
        <v>220</v>
      </c>
    </row>
    <row r="77" spans="7:52" x14ac:dyDescent="0.35">
      <c r="G77" s="58"/>
      <c r="S77" s="58"/>
      <c r="AR77" s="381" t="s">
        <v>229</v>
      </c>
      <c r="AS77" s="357">
        <v>85.58</v>
      </c>
      <c r="AT77" s="333">
        <v>78.900000000000006</v>
      </c>
      <c r="AU77">
        <v>16.7</v>
      </c>
    </row>
    <row r="78" spans="7:52" x14ac:dyDescent="0.35">
      <c r="G78" s="58"/>
      <c r="S78" s="58"/>
      <c r="AR78" s="381" t="s">
        <v>230</v>
      </c>
      <c r="AS78" s="357">
        <f>14.5*2</f>
        <v>29</v>
      </c>
      <c r="AT78" s="333"/>
      <c r="AU78"/>
    </row>
    <row r="79" spans="7:52" x14ac:dyDescent="0.35">
      <c r="AR79" s="382" t="s">
        <v>224</v>
      </c>
      <c r="AS79" s="357">
        <f>9.3+6</f>
        <v>15.3</v>
      </c>
      <c r="AT79" s="333">
        <f>18.6+22.7</f>
        <v>41.3</v>
      </c>
      <c r="AU79">
        <f>1.9+0.9</f>
        <v>2.8</v>
      </c>
    </row>
    <row r="80" spans="7:52" x14ac:dyDescent="0.35">
      <c r="AR80" s="381" t="s">
        <v>225</v>
      </c>
      <c r="AS80" s="357">
        <f>9.9*2</f>
        <v>19.8</v>
      </c>
      <c r="AT80" s="333">
        <f>1.8*2</f>
        <v>3.6</v>
      </c>
      <c r="AU80">
        <f>0.5*2</f>
        <v>1</v>
      </c>
    </row>
    <row r="81" spans="44:47" x14ac:dyDescent="0.35">
      <c r="AR81" s="381"/>
      <c r="AS81" s="357">
        <f>AS77-AS79+AS78+AS80</f>
        <v>119.08</v>
      </c>
      <c r="AT81" s="357">
        <f>AT77-AT79+AT78+AT80</f>
        <v>41.20000000000001</v>
      </c>
      <c r="AU81" s="357">
        <f>AU77-AU79+AU78+AU80</f>
        <v>14.899999999999999</v>
      </c>
    </row>
  </sheetData>
  <mergeCells count="81">
    <mergeCell ref="A1:AP1"/>
    <mergeCell ref="A2:AP2"/>
    <mergeCell ref="A3:AP3"/>
    <mergeCell ref="Y5:Z5"/>
    <mergeCell ref="AO5:AP5"/>
    <mergeCell ref="Q4:AP4"/>
    <mergeCell ref="E4:P4"/>
    <mergeCell ref="AN7:AO7"/>
    <mergeCell ref="AI6:AM6"/>
    <mergeCell ref="AN6:AP6"/>
    <mergeCell ref="B7:C8"/>
    <mergeCell ref="D7:D8"/>
    <mergeCell ref="Q7:S7"/>
    <mergeCell ref="T7:T8"/>
    <mergeCell ref="U7:W7"/>
    <mergeCell ref="X7:AA7"/>
    <mergeCell ref="AB7:AB8"/>
    <mergeCell ref="AC7:AE7"/>
    <mergeCell ref="B6:D6"/>
    <mergeCell ref="Q6:T6"/>
    <mergeCell ref="U6:AF6"/>
    <mergeCell ref="AG6:AH7"/>
    <mergeCell ref="AM7:AM8"/>
    <mergeCell ref="A33:A35"/>
    <mergeCell ref="AF7:AF8"/>
    <mergeCell ref="AI7:AJ7"/>
    <mergeCell ref="AK7:AK8"/>
    <mergeCell ref="AL7:AL8"/>
    <mergeCell ref="A6:A8"/>
    <mergeCell ref="A9:A17"/>
    <mergeCell ref="A18:A21"/>
    <mergeCell ref="A22:A26"/>
    <mergeCell ref="A27:A30"/>
    <mergeCell ref="A31:A32"/>
    <mergeCell ref="I6:M6"/>
    <mergeCell ref="I7:J7"/>
    <mergeCell ref="K7:K8"/>
    <mergeCell ref="L7:L8"/>
    <mergeCell ref="M7:M8"/>
    <mergeCell ref="A36:A40"/>
    <mergeCell ref="A41:A46"/>
    <mergeCell ref="A48:AM48"/>
    <mergeCell ref="A51:A52"/>
    <mergeCell ref="B51:Q52"/>
    <mergeCell ref="R51:R52"/>
    <mergeCell ref="T51:Y52"/>
    <mergeCell ref="AA52:AD52"/>
    <mergeCell ref="AE52:AI52"/>
    <mergeCell ref="AJ52:AM52"/>
    <mergeCell ref="T63:W63"/>
    <mergeCell ref="X63:Y63"/>
    <mergeCell ref="B55:Q55"/>
    <mergeCell ref="T55:W55"/>
    <mergeCell ref="X55:Y55"/>
    <mergeCell ref="B56:Q56"/>
    <mergeCell ref="T56:W56"/>
    <mergeCell ref="X56:Y56"/>
    <mergeCell ref="T59:Y60"/>
    <mergeCell ref="T61:W61"/>
    <mergeCell ref="X61:Y61"/>
    <mergeCell ref="T62:W62"/>
    <mergeCell ref="X62:Y62"/>
    <mergeCell ref="AE55:AI55"/>
    <mergeCell ref="AE56:AI56"/>
    <mergeCell ref="AN52:AP52"/>
    <mergeCell ref="B53:Q53"/>
    <mergeCell ref="T53:W53"/>
    <mergeCell ref="X53:Y53"/>
    <mergeCell ref="B54:Q54"/>
    <mergeCell ref="T54:W54"/>
    <mergeCell ref="X54:Y54"/>
    <mergeCell ref="T64:W64"/>
    <mergeCell ref="X64:Y64"/>
    <mergeCell ref="X65:Y65"/>
    <mergeCell ref="X66:Y66"/>
    <mergeCell ref="X67:Y67"/>
    <mergeCell ref="N6:P6"/>
    <mergeCell ref="N7:O7"/>
    <mergeCell ref="E6:H6"/>
    <mergeCell ref="E7:G7"/>
    <mergeCell ref="H7:H8"/>
  </mergeCells>
  <conditionalFormatting sqref="Q46:S46 Q9:S44">
    <cfRule type="cellIs" dxfId="8" priority="5" stopIfTrue="1" operator="equal">
      <formula>0</formula>
    </cfRule>
  </conditionalFormatting>
  <conditionalFormatting sqref="Q45:S45">
    <cfRule type="cellIs" dxfId="7" priority="4" stopIfTrue="1" operator="equal">
      <formula>0</formula>
    </cfRule>
  </conditionalFormatting>
  <conditionalFormatting sqref="X9:Z46">
    <cfRule type="cellIs" dxfId="6" priority="3" stopIfTrue="1" operator="equal">
      <formula>0</formula>
    </cfRule>
  </conditionalFormatting>
  <conditionalFormatting sqref="E46:G46 E9:G44">
    <cfRule type="cellIs" dxfId="5" priority="2" stopIfTrue="1" operator="equal">
      <formula>0</formula>
    </cfRule>
  </conditionalFormatting>
  <conditionalFormatting sqref="E45:G45">
    <cfRule type="cellIs" dxfId="4" priority="1" stopIfTrue="1" operator="equal">
      <formula>0</formula>
    </cfRule>
  </conditionalFormatting>
  <pageMargins left="0.78740157480314965" right="0.31496062992125984" top="0.55118110236220474" bottom="0.55118110236220474" header="0.31496062992125984" footer="0.31496062992125984"/>
  <pageSetup paperSize="8" scale="94" orientation="landscape" r:id="rId1"/>
  <headerFooter>
    <oddFooter>&amp;RPAGE:  1  OF  RMU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T80"/>
  <sheetViews>
    <sheetView showGridLines="0" topLeftCell="A5" zoomScale="120" zoomScaleNormal="120" zoomScaleSheetLayoutView="120" workbookViewId="0">
      <pane xSplit="4" ySplit="4" topLeftCell="F19" activePane="bottomRight" state="frozen"/>
      <selection activeCell="A5" sqref="A5"/>
      <selection pane="topRight" activeCell="E5" sqref="E5"/>
      <selection pane="bottomLeft" activeCell="A9" sqref="A9"/>
      <selection pane="bottomRight" activeCell="O46" sqref="O46"/>
    </sheetView>
  </sheetViews>
  <sheetFormatPr defaultColWidth="9.1796875" defaultRowHeight="14.5" x14ac:dyDescent="0.35"/>
  <cols>
    <col min="1" max="1" width="16.1796875" style="334" bestFit="1" customWidth="1"/>
    <col min="2" max="2" width="5.7265625" style="334" customWidth="1"/>
    <col min="3" max="3" width="0.1796875" style="334" customWidth="1"/>
    <col min="4" max="4" width="29.54296875" style="334" customWidth="1"/>
    <col min="5" max="5" width="8.26953125" style="334" customWidth="1"/>
    <col min="6" max="6" width="7.1796875" style="334" customWidth="1"/>
    <col min="7" max="7" width="6.81640625" style="334" customWidth="1"/>
    <col min="8" max="8" width="10.1796875" style="334" customWidth="1"/>
    <col min="9" max="10" width="6.81640625" style="334" hidden="1" customWidth="1"/>
    <col min="11" max="11" width="6.81640625" style="334" customWidth="1"/>
    <col min="12" max="12" width="12.54296875" style="343" customWidth="1"/>
    <col min="13" max="13" width="7.1796875" style="334" hidden="1" customWidth="1"/>
    <col min="14" max="14" width="12.1796875" style="334" customWidth="1"/>
    <col min="15" max="15" width="6.26953125" style="334" customWidth="1"/>
    <col min="16" max="16" width="12.54296875" style="349" customWidth="1"/>
    <col min="17" max="17" width="8.26953125" style="334" customWidth="1"/>
    <col min="18" max="18" width="7.1796875" style="334" customWidth="1"/>
    <col min="19" max="19" width="6.81640625" style="334" customWidth="1"/>
    <col min="20" max="20" width="10.1796875" style="334" customWidth="1"/>
    <col min="21" max="21" width="7.26953125" style="349" hidden="1" customWidth="1"/>
    <col min="22" max="23" width="7.7265625" style="349" hidden="1" customWidth="1"/>
    <col min="24" max="24" width="7.26953125" style="334" hidden="1" customWidth="1"/>
    <col min="25" max="26" width="6.81640625" style="334" hidden="1" customWidth="1"/>
    <col min="27" max="27" width="7.1796875" style="334" hidden="1" customWidth="1"/>
    <col min="28" max="28" width="10.7265625" style="334" hidden="1" customWidth="1"/>
    <col min="29" max="29" width="8" style="334" hidden="1" customWidth="1"/>
    <col min="30" max="30" width="11.453125" style="334" hidden="1" customWidth="1"/>
    <col min="31" max="31" width="10" style="334" hidden="1" customWidth="1"/>
    <col min="32" max="32" width="14.7265625" style="334" hidden="1" customWidth="1"/>
    <col min="33" max="33" width="3.81640625" style="334" hidden="1" customWidth="1"/>
    <col min="34" max="34" width="6.453125" style="334" hidden="1" customWidth="1"/>
    <col min="35" max="36" width="6.81640625" style="334" hidden="1" customWidth="1"/>
    <col min="37" max="37" width="9.26953125" style="334" bestFit="1" customWidth="1"/>
    <col min="38" max="38" width="12.54296875" style="343" customWidth="1"/>
    <col min="39" max="39" width="6.81640625" style="334" hidden="1" customWidth="1"/>
    <col min="40" max="40" width="12.1796875" style="334" bestFit="1" customWidth="1"/>
    <col min="41" max="41" width="6.26953125" style="334" bestFit="1" customWidth="1"/>
    <col min="42" max="42" width="14" style="349" customWidth="1"/>
    <col min="43" max="43" width="14.26953125" style="349" customWidth="1"/>
    <col min="44" max="56" width="12.54296875" style="349" customWidth="1"/>
    <col min="57" max="60" width="9.1796875" style="334"/>
    <col min="61" max="61" width="24" style="334" customWidth="1"/>
    <col min="62" max="16384" width="9.1796875" style="334"/>
  </cols>
  <sheetData>
    <row r="1" spans="1:72" ht="18" x14ac:dyDescent="0.35">
      <c r="A1" s="542" t="s">
        <v>74</v>
      </c>
      <c r="B1" s="542"/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  <c r="R1" s="542"/>
      <c r="S1" s="542"/>
      <c r="T1" s="542"/>
      <c r="U1" s="542"/>
      <c r="V1" s="542"/>
      <c r="W1" s="542"/>
      <c r="X1" s="542"/>
      <c r="Y1" s="542"/>
      <c r="Z1" s="542"/>
      <c r="AA1" s="542"/>
      <c r="AB1" s="542"/>
      <c r="AC1" s="542"/>
      <c r="AD1" s="542"/>
      <c r="AE1" s="542"/>
      <c r="AF1" s="542"/>
      <c r="AG1" s="542"/>
      <c r="AH1" s="542"/>
      <c r="AI1" s="542"/>
      <c r="AJ1" s="542"/>
      <c r="AK1" s="542"/>
      <c r="AL1" s="542"/>
      <c r="AM1" s="542"/>
      <c r="AN1" s="542"/>
      <c r="AO1" s="542"/>
      <c r="AP1" s="542"/>
      <c r="AQ1" s="367"/>
      <c r="AR1" s="367"/>
      <c r="AS1" s="367"/>
      <c r="AT1" s="367"/>
      <c r="AU1" s="367"/>
      <c r="AV1" s="367"/>
      <c r="AW1" s="367"/>
      <c r="AX1" s="367"/>
      <c r="AY1" s="367"/>
      <c r="AZ1" s="367"/>
      <c r="BA1" s="367"/>
      <c r="BB1" s="367"/>
      <c r="BC1" s="367"/>
      <c r="BD1" s="367"/>
    </row>
    <row r="2" spans="1:72" ht="18" x14ac:dyDescent="0.35">
      <c r="A2" s="543" t="s">
        <v>181</v>
      </c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3"/>
      <c r="N2" s="543"/>
      <c r="O2" s="543"/>
      <c r="P2" s="543"/>
      <c r="Q2" s="543"/>
      <c r="R2" s="543"/>
      <c r="S2" s="543"/>
      <c r="T2" s="543"/>
      <c r="U2" s="543"/>
      <c r="V2" s="543"/>
      <c r="W2" s="543"/>
      <c r="X2" s="543"/>
      <c r="Y2" s="543"/>
      <c r="Z2" s="543"/>
      <c r="AA2" s="543"/>
      <c r="AB2" s="543"/>
      <c r="AC2" s="543"/>
      <c r="AD2" s="543"/>
      <c r="AE2" s="543"/>
      <c r="AF2" s="543"/>
      <c r="AG2" s="543"/>
      <c r="AH2" s="543"/>
      <c r="AI2" s="543"/>
      <c r="AJ2" s="543"/>
      <c r="AK2" s="543"/>
      <c r="AL2" s="543"/>
      <c r="AM2" s="543"/>
      <c r="AN2" s="543"/>
      <c r="AO2" s="543"/>
      <c r="AP2" s="543"/>
      <c r="AQ2" s="368"/>
      <c r="AR2" s="368"/>
      <c r="AS2" s="368"/>
      <c r="AT2" s="368"/>
      <c r="AU2" s="368"/>
      <c r="AV2" s="368"/>
      <c r="AW2" s="368"/>
      <c r="AX2" s="368"/>
      <c r="AY2" s="368"/>
      <c r="AZ2" s="368"/>
      <c r="BA2" s="368"/>
      <c r="BB2" s="368"/>
      <c r="BC2" s="368"/>
      <c r="BD2" s="368"/>
    </row>
    <row r="3" spans="1:72" ht="15.5" x14ac:dyDescent="0.35">
      <c r="A3" s="544" t="s">
        <v>231</v>
      </c>
      <c r="B3" s="544"/>
      <c r="C3" s="544"/>
      <c r="D3" s="544"/>
      <c r="E3" s="544"/>
      <c r="F3" s="544"/>
      <c r="G3" s="544"/>
      <c r="H3" s="544"/>
      <c r="I3" s="544"/>
      <c r="J3" s="544"/>
      <c r="K3" s="544"/>
      <c r="L3" s="544"/>
      <c r="M3" s="544"/>
      <c r="N3" s="544"/>
      <c r="O3" s="544"/>
      <c r="P3" s="544"/>
      <c r="Q3" s="544"/>
      <c r="R3" s="544"/>
      <c r="S3" s="544"/>
      <c r="T3" s="544"/>
      <c r="U3" s="544"/>
      <c r="V3" s="544"/>
      <c r="W3" s="544"/>
      <c r="X3" s="544"/>
      <c r="Y3" s="544"/>
      <c r="Z3" s="544"/>
      <c r="AA3" s="544"/>
      <c r="AB3" s="544"/>
      <c r="AC3" s="544"/>
      <c r="AD3" s="544"/>
      <c r="AE3" s="544"/>
      <c r="AF3" s="544"/>
      <c r="AG3" s="544"/>
      <c r="AH3" s="544"/>
      <c r="AI3" s="544"/>
      <c r="AJ3" s="544"/>
      <c r="AK3" s="544"/>
      <c r="AL3" s="544"/>
      <c r="AM3" s="544"/>
      <c r="AN3" s="544"/>
      <c r="AO3" s="544"/>
      <c r="AP3" s="544"/>
      <c r="AQ3" s="369"/>
      <c r="AR3" s="369"/>
      <c r="AS3" s="369"/>
      <c r="AT3" s="369"/>
      <c r="AU3" s="369"/>
      <c r="AV3" s="369"/>
      <c r="AW3" s="369"/>
      <c r="AX3" s="369"/>
      <c r="AY3" s="369"/>
      <c r="AZ3" s="369"/>
      <c r="BA3" s="369"/>
      <c r="BB3" s="369"/>
      <c r="BC3" s="369"/>
      <c r="BD3" s="369"/>
    </row>
    <row r="4" spans="1:72" ht="15.5" x14ac:dyDescent="0.35">
      <c r="A4" s="26"/>
      <c r="B4" s="27"/>
      <c r="C4" s="27"/>
      <c r="D4" s="26"/>
      <c r="E4" s="369"/>
      <c r="F4" s="369"/>
      <c r="G4" s="369"/>
      <c r="H4" s="369"/>
      <c r="I4" s="369"/>
      <c r="J4" s="369"/>
      <c r="K4" s="369"/>
      <c r="L4" s="369"/>
      <c r="M4" s="369"/>
      <c r="N4" s="369"/>
      <c r="O4" s="369"/>
      <c r="P4" s="369"/>
      <c r="Q4" s="27"/>
      <c r="R4" s="27"/>
      <c r="S4" s="27"/>
      <c r="T4" s="27"/>
      <c r="U4" s="27"/>
      <c r="V4" s="27"/>
      <c r="W4" s="27"/>
      <c r="X4" s="26"/>
      <c r="Y4" s="639"/>
      <c r="Z4" s="639"/>
      <c r="AA4" s="26"/>
      <c r="AB4" s="26"/>
      <c r="AI4" s="358"/>
      <c r="AJ4" s="358"/>
      <c r="AK4" s="498" t="s">
        <v>178</v>
      </c>
      <c r="AL4" s="499">
        <v>0</v>
      </c>
      <c r="AM4" s="500"/>
      <c r="AN4" s="501" t="s">
        <v>179</v>
      </c>
      <c r="AO4" s="640">
        <f ca="1">TODAY()</f>
        <v>44840</v>
      </c>
      <c r="AP4" s="641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</row>
    <row r="5" spans="1:72" ht="15.65" customHeight="1" x14ac:dyDescent="0.35">
      <c r="A5" s="26"/>
      <c r="B5" s="27"/>
      <c r="C5" s="27"/>
      <c r="D5" s="26"/>
      <c r="E5" s="642">
        <v>2021</v>
      </c>
      <c r="F5" s="643"/>
      <c r="G5" s="643"/>
      <c r="H5" s="643"/>
      <c r="I5" s="643"/>
      <c r="J5" s="643"/>
      <c r="K5" s="643"/>
      <c r="L5" s="643"/>
      <c r="M5" s="643"/>
      <c r="N5" s="643"/>
      <c r="O5" s="643"/>
      <c r="P5" s="644"/>
      <c r="Q5" s="642">
        <v>2022</v>
      </c>
      <c r="R5" s="643"/>
      <c r="S5" s="643"/>
      <c r="T5" s="643"/>
      <c r="U5" s="643"/>
      <c r="V5" s="643"/>
      <c r="W5" s="643"/>
      <c r="X5" s="643"/>
      <c r="Y5" s="643"/>
      <c r="Z5" s="643"/>
      <c r="AA5" s="643"/>
      <c r="AB5" s="643"/>
      <c r="AC5" s="643"/>
      <c r="AD5" s="643"/>
      <c r="AE5" s="643"/>
      <c r="AF5" s="643"/>
      <c r="AG5" s="643"/>
      <c r="AH5" s="643"/>
      <c r="AI5" s="643"/>
      <c r="AJ5" s="643"/>
      <c r="AK5" s="643"/>
      <c r="AL5" s="643"/>
      <c r="AM5" s="643"/>
      <c r="AN5" s="643"/>
      <c r="AO5" s="643"/>
      <c r="AP5" s="644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</row>
    <row r="6" spans="1:72" ht="14.5" customHeight="1" x14ac:dyDescent="0.35">
      <c r="A6" s="547" t="s">
        <v>6</v>
      </c>
      <c r="B6" s="548" t="s">
        <v>7</v>
      </c>
      <c r="C6" s="548"/>
      <c r="D6" s="548"/>
      <c r="E6" s="548" t="s">
        <v>6</v>
      </c>
      <c r="F6" s="548"/>
      <c r="G6" s="548"/>
      <c r="H6" s="548"/>
      <c r="I6" s="547" t="s">
        <v>79</v>
      </c>
      <c r="J6" s="614"/>
      <c r="K6" s="614"/>
      <c r="L6" s="614"/>
      <c r="M6" s="614"/>
      <c r="N6" s="647" t="s">
        <v>80</v>
      </c>
      <c r="O6" s="648"/>
      <c r="P6" s="649"/>
      <c r="Q6" s="548" t="s">
        <v>6</v>
      </c>
      <c r="R6" s="548"/>
      <c r="S6" s="548"/>
      <c r="T6" s="548"/>
      <c r="U6" s="547" t="s">
        <v>77</v>
      </c>
      <c r="V6" s="614"/>
      <c r="W6" s="614"/>
      <c r="X6" s="614"/>
      <c r="Y6" s="614"/>
      <c r="Z6" s="614"/>
      <c r="AA6" s="614"/>
      <c r="AB6" s="614"/>
      <c r="AC6" s="614"/>
      <c r="AD6" s="614"/>
      <c r="AE6" s="614"/>
      <c r="AF6" s="615"/>
      <c r="AG6" s="550" t="s">
        <v>78</v>
      </c>
      <c r="AH6" s="551"/>
      <c r="AI6" s="547" t="s">
        <v>79</v>
      </c>
      <c r="AJ6" s="614"/>
      <c r="AK6" s="614"/>
      <c r="AL6" s="614"/>
      <c r="AM6" s="614"/>
      <c r="AN6" s="647" t="s">
        <v>80</v>
      </c>
      <c r="AO6" s="648"/>
      <c r="AP6" s="649"/>
      <c r="AQ6" s="370"/>
      <c r="AR6" s="370"/>
      <c r="AS6" s="370"/>
      <c r="AT6" s="370"/>
      <c r="AU6" s="370"/>
      <c r="AV6" s="370"/>
      <c r="AW6" s="370"/>
      <c r="AX6" s="370"/>
      <c r="AY6" s="370"/>
      <c r="AZ6" s="370"/>
      <c r="BA6" s="370"/>
      <c r="BB6" s="370"/>
      <c r="BC6" s="370"/>
      <c r="BD6" s="370"/>
    </row>
    <row r="7" spans="1:72" ht="23.25" customHeight="1" x14ac:dyDescent="0.35">
      <c r="A7" s="547"/>
      <c r="B7" s="555" t="s">
        <v>8</v>
      </c>
      <c r="C7" s="556"/>
      <c r="D7" s="548" t="s">
        <v>4</v>
      </c>
      <c r="E7" s="559" t="s">
        <v>81</v>
      </c>
      <c r="F7" s="560"/>
      <c r="G7" s="561"/>
      <c r="H7" s="562" t="s">
        <v>180</v>
      </c>
      <c r="I7" s="536" t="s">
        <v>83</v>
      </c>
      <c r="J7" s="537"/>
      <c r="K7" s="538" t="s">
        <v>88</v>
      </c>
      <c r="L7" s="538" t="s">
        <v>84</v>
      </c>
      <c r="M7" s="540" t="s">
        <v>89</v>
      </c>
      <c r="N7" s="645" t="s">
        <v>90</v>
      </c>
      <c r="O7" s="646"/>
      <c r="P7" s="335" t="s">
        <v>91</v>
      </c>
      <c r="Q7" s="559" t="s">
        <v>81</v>
      </c>
      <c r="R7" s="560"/>
      <c r="S7" s="561"/>
      <c r="T7" s="562" t="s">
        <v>180</v>
      </c>
      <c r="U7" s="564" t="s">
        <v>83</v>
      </c>
      <c r="V7" s="565"/>
      <c r="W7" s="566"/>
      <c r="X7" s="567" t="s">
        <v>84</v>
      </c>
      <c r="Y7" s="568"/>
      <c r="Z7" s="568"/>
      <c r="AA7" s="569"/>
      <c r="AB7" s="527" t="s">
        <v>85</v>
      </c>
      <c r="AC7" s="638" t="s">
        <v>86</v>
      </c>
      <c r="AD7" s="638"/>
      <c r="AE7" s="638"/>
      <c r="AF7" s="527" t="s">
        <v>87</v>
      </c>
      <c r="AG7" s="550"/>
      <c r="AH7" s="551"/>
      <c r="AI7" s="536" t="s">
        <v>83</v>
      </c>
      <c r="AJ7" s="537"/>
      <c r="AK7" s="538" t="s">
        <v>88</v>
      </c>
      <c r="AL7" s="538" t="s">
        <v>84</v>
      </c>
      <c r="AM7" s="540" t="s">
        <v>89</v>
      </c>
      <c r="AN7" s="645" t="s">
        <v>90</v>
      </c>
      <c r="AO7" s="646"/>
      <c r="AP7" s="335" t="s">
        <v>91</v>
      </c>
      <c r="AQ7" s="371"/>
      <c r="BE7" s="371"/>
      <c r="BF7" s="372">
        <v>2021</v>
      </c>
      <c r="BG7" s="372"/>
      <c r="BH7" s="371"/>
    </row>
    <row r="8" spans="1:72" x14ac:dyDescent="0.35">
      <c r="A8" s="547"/>
      <c r="B8" s="557"/>
      <c r="C8" s="558"/>
      <c r="D8" s="548"/>
      <c r="E8" s="30" t="s">
        <v>9</v>
      </c>
      <c r="F8" s="31" t="s">
        <v>10</v>
      </c>
      <c r="G8" s="32" t="s">
        <v>11</v>
      </c>
      <c r="H8" s="563"/>
      <c r="I8" s="220" t="s">
        <v>97</v>
      </c>
      <c r="J8" s="201" t="s">
        <v>98</v>
      </c>
      <c r="K8" s="539"/>
      <c r="L8" s="539"/>
      <c r="M8" s="541"/>
      <c r="N8" s="330" t="s">
        <v>99</v>
      </c>
      <c r="O8" s="70" t="s">
        <v>100</v>
      </c>
      <c r="P8" s="336" t="s">
        <v>99</v>
      </c>
      <c r="Q8" s="30" t="s">
        <v>9</v>
      </c>
      <c r="R8" s="31" t="s">
        <v>10</v>
      </c>
      <c r="S8" s="32" t="s">
        <v>11</v>
      </c>
      <c r="T8" s="563"/>
      <c r="U8" s="30" t="s">
        <v>9</v>
      </c>
      <c r="V8" s="31" t="s">
        <v>10</v>
      </c>
      <c r="W8" s="32" t="s">
        <v>11</v>
      </c>
      <c r="X8" s="30" t="s">
        <v>9</v>
      </c>
      <c r="Y8" s="31" t="s">
        <v>10</v>
      </c>
      <c r="Z8" s="33" t="s">
        <v>11</v>
      </c>
      <c r="AA8" s="72" t="s">
        <v>92</v>
      </c>
      <c r="AB8" s="528"/>
      <c r="AC8" s="35" t="s">
        <v>93</v>
      </c>
      <c r="AD8" s="36" t="s">
        <v>94</v>
      </c>
      <c r="AE8" s="37" t="s">
        <v>95</v>
      </c>
      <c r="AF8" s="528"/>
      <c r="AG8" s="30" t="s">
        <v>96</v>
      </c>
      <c r="AH8" s="206" t="s">
        <v>5</v>
      </c>
      <c r="AI8" s="220" t="s">
        <v>97</v>
      </c>
      <c r="AJ8" s="201" t="s">
        <v>98</v>
      </c>
      <c r="AK8" s="539"/>
      <c r="AL8" s="539"/>
      <c r="AM8" s="541"/>
      <c r="AN8" s="330" t="s">
        <v>99</v>
      </c>
      <c r="AO8" s="70" t="s">
        <v>100</v>
      </c>
      <c r="AP8" s="336" t="s">
        <v>99</v>
      </c>
      <c r="AQ8" s="371"/>
      <c r="BE8" s="371"/>
      <c r="BF8" s="372" t="s">
        <v>232</v>
      </c>
      <c r="BG8" s="372">
        <v>519.79</v>
      </c>
      <c r="BH8" s="371"/>
    </row>
    <row r="9" spans="1:72" ht="14.15" customHeight="1" x14ac:dyDescent="0.35">
      <c r="A9" s="525" t="s">
        <v>12</v>
      </c>
      <c r="B9" s="140">
        <v>1011</v>
      </c>
      <c r="C9" s="42"/>
      <c r="D9" s="141" t="s">
        <v>101</v>
      </c>
      <c r="E9" s="180">
        <v>364.45</v>
      </c>
      <c r="F9" s="181">
        <v>107.56</v>
      </c>
      <c r="G9" s="142">
        <v>46.320000000000007</v>
      </c>
      <c r="H9" s="143">
        <v>518.33000000000004</v>
      </c>
      <c r="I9" s="221">
        <v>1.5649682634615012</v>
      </c>
      <c r="J9" s="215">
        <v>0.3912420658653753</v>
      </c>
      <c r="K9" s="202">
        <v>0.25</v>
      </c>
      <c r="L9" s="253">
        <v>202.79249999999999</v>
      </c>
      <c r="M9" s="228">
        <v>33.798749999999998</v>
      </c>
      <c r="N9" s="233">
        <v>57206.412299999996</v>
      </c>
      <c r="O9" s="234">
        <v>4.6573434302211447E-3</v>
      </c>
      <c r="P9" s="337"/>
      <c r="Q9" s="180">
        <v>377.39</v>
      </c>
      <c r="R9" s="181">
        <v>116.39</v>
      </c>
      <c r="S9" s="142">
        <v>26.01</v>
      </c>
      <c r="T9" s="258">
        <f>SUM(Q9:S9)</f>
        <v>519.79</v>
      </c>
      <c r="U9" s="144">
        <v>1</v>
      </c>
      <c r="V9" s="145">
        <v>2</v>
      </c>
      <c r="W9" s="146">
        <v>5</v>
      </c>
      <c r="X9" s="279">
        <f>Q9*U9</f>
        <v>377.39</v>
      </c>
      <c r="Y9" s="284">
        <f>R9*V9</f>
        <v>232.78</v>
      </c>
      <c r="Z9" s="286">
        <f>S9*W9</f>
        <v>130.05000000000001</v>
      </c>
      <c r="AA9" s="126">
        <f>SUM(X9:Z9)</f>
        <v>740.22</v>
      </c>
      <c r="AB9" s="120">
        <f>AA9/AG9</f>
        <v>123.37</v>
      </c>
      <c r="AC9" s="170">
        <v>490.01</v>
      </c>
      <c r="AD9" s="90">
        <v>1003.93</v>
      </c>
      <c r="AE9" s="148">
        <v>198.62</v>
      </c>
      <c r="AF9" s="121">
        <f>SUM(AC9:AE9)</f>
        <v>1692.56</v>
      </c>
      <c r="AG9" s="211">
        <v>6</v>
      </c>
      <c r="AH9" s="207" t="s">
        <v>60</v>
      </c>
      <c r="AI9" s="221">
        <f>SUM(AA9/T9)</f>
        <v>1.424075107254853</v>
      </c>
      <c r="AJ9" s="215">
        <f>SUM(AK9*AI9)</f>
        <v>0.42722253217645589</v>
      </c>
      <c r="AK9" s="202">
        <v>0.3</v>
      </c>
      <c r="AL9" s="253">
        <f>AK9*AA9</f>
        <v>222.066</v>
      </c>
      <c r="AM9" s="228">
        <f>SUM(AL9/AG9)</f>
        <v>37.011000000000003</v>
      </c>
      <c r="AN9" s="233">
        <f>SUM(AF9*AM9)</f>
        <v>62643.338159999999</v>
      </c>
      <c r="AO9" s="234">
        <f>SUM(AN9/$AN$48)</f>
        <v>5.0761872234554575E-3</v>
      </c>
      <c r="AP9" s="337"/>
      <c r="AQ9" s="372"/>
      <c r="BF9" s="372" t="s">
        <v>233</v>
      </c>
      <c r="BG9" s="372">
        <v>13.37</v>
      </c>
      <c r="BH9" s="372"/>
      <c r="BO9" s="334" t="s">
        <v>234</v>
      </c>
    </row>
    <row r="10" spans="1:72" ht="14.15" customHeight="1" x14ac:dyDescent="0.35">
      <c r="A10" s="517"/>
      <c r="B10" s="73">
        <v>1012</v>
      </c>
      <c r="C10" s="43"/>
      <c r="D10" s="91" t="s">
        <v>103</v>
      </c>
      <c r="E10" s="122">
        <v>364.45</v>
      </c>
      <c r="F10" s="123">
        <v>107.56</v>
      </c>
      <c r="G10" s="128">
        <v>46.320000000000007</v>
      </c>
      <c r="H10" s="486">
        <v>518.33000000000004</v>
      </c>
      <c r="I10" s="221">
        <v>1.5649682634615012</v>
      </c>
      <c r="J10" s="227">
        <v>0.3912420658653753</v>
      </c>
      <c r="K10" s="203">
        <v>0.25</v>
      </c>
      <c r="L10" s="253">
        <v>202.79249999999999</v>
      </c>
      <c r="M10" s="228">
        <v>40.558499999999995</v>
      </c>
      <c r="N10" s="233">
        <v>85028.461739999999</v>
      </c>
      <c r="O10" s="234">
        <v>6.9224188643376783E-3</v>
      </c>
      <c r="P10" s="338"/>
      <c r="Q10" s="122">
        <v>377.39</v>
      </c>
      <c r="R10" s="123">
        <v>116.39</v>
      </c>
      <c r="S10" s="128">
        <v>26.01</v>
      </c>
      <c r="T10" s="259">
        <f>SUM(Q10:S10)</f>
        <v>519.79</v>
      </c>
      <c r="U10" s="96">
        <v>1</v>
      </c>
      <c r="V10" s="97">
        <v>2</v>
      </c>
      <c r="W10" s="98">
        <v>5</v>
      </c>
      <c r="X10" s="294">
        <f t="shared" ref="X10:Y44" si="0">Q10*U10</f>
        <v>377.39</v>
      </c>
      <c r="Y10" s="293">
        <f>R10*V10</f>
        <v>232.78</v>
      </c>
      <c r="Z10" s="295">
        <f t="shared" ref="Z10:Z44" si="1">S10*W10</f>
        <v>130.05000000000001</v>
      </c>
      <c r="AA10" s="85">
        <f t="shared" ref="AA10:AA17" si="2">SUM(X10:Z10)</f>
        <v>740.22</v>
      </c>
      <c r="AB10" s="101">
        <f>AA10/AG10</f>
        <v>148.04400000000001</v>
      </c>
      <c r="AC10" s="86">
        <v>490.01</v>
      </c>
      <c r="AD10" s="87">
        <v>1003.93</v>
      </c>
      <c r="AE10" s="88">
        <v>602.5</v>
      </c>
      <c r="AF10" s="187">
        <f t="shared" ref="AF10:AF46" si="3">SUM(AC10:AE10)</f>
        <v>2096.44</v>
      </c>
      <c r="AG10" s="157">
        <v>5</v>
      </c>
      <c r="AH10" s="98" t="s">
        <v>60</v>
      </c>
      <c r="AI10" s="221">
        <f>SUM(AA10/T10)</f>
        <v>1.424075107254853</v>
      </c>
      <c r="AJ10" s="227">
        <f t="shared" ref="AJ10:AJ46" si="4">SUM(AK10*AI10)</f>
        <v>0.42722253217645589</v>
      </c>
      <c r="AK10" s="203">
        <v>0.3</v>
      </c>
      <c r="AL10" s="253">
        <f t="shared" ref="AL10:AL46" si="5">AK10*AA10</f>
        <v>222.066</v>
      </c>
      <c r="AM10" s="228">
        <f t="shared" ref="AM10:AM46" si="6">SUM(AL10/AG10)</f>
        <v>44.413200000000003</v>
      </c>
      <c r="AN10" s="233">
        <f t="shared" ref="AN10:AN44" si="7">SUM(AF10*AM10)</f>
        <v>93109.609008000014</v>
      </c>
      <c r="AO10" s="234">
        <f t="shared" ref="AO10:AO46" si="8">SUM(AN10/$AN$48)</f>
        <v>7.5449652191291018E-3</v>
      </c>
      <c r="AP10" s="338"/>
      <c r="AQ10" s="372"/>
      <c r="AR10" t="s">
        <v>182</v>
      </c>
      <c r="AS10" s="357"/>
      <c r="AT10" s="333"/>
      <c r="AU10"/>
      <c r="AV10"/>
      <c r="AW10"/>
      <c r="AX10"/>
      <c r="AY10"/>
      <c r="BG10" s="372"/>
      <c r="BH10" s="372"/>
      <c r="BO10" s="371"/>
      <c r="BP10" s="371" t="s">
        <v>235</v>
      </c>
      <c r="BQ10" s="371"/>
      <c r="BR10" s="371"/>
      <c r="BS10" s="371"/>
      <c r="BT10" s="371"/>
    </row>
    <row r="11" spans="1:72" ht="14.15" customHeight="1" x14ac:dyDescent="0.35">
      <c r="A11" s="517"/>
      <c r="B11" s="73">
        <v>3013</v>
      </c>
      <c r="C11" s="43"/>
      <c r="D11" s="91" t="s">
        <v>104</v>
      </c>
      <c r="E11" s="127">
        <v>3280.0499999999997</v>
      </c>
      <c r="F11" s="93">
        <v>968.04</v>
      </c>
      <c r="G11" s="331">
        <v>416.88</v>
      </c>
      <c r="H11" s="193">
        <v>4664.97</v>
      </c>
      <c r="I11" s="221">
        <v>0.21557116122933265</v>
      </c>
      <c r="J11" s="216">
        <v>1.9573861439623405E-2</v>
      </c>
      <c r="K11" s="203">
        <v>9.0800000000000006E-2</v>
      </c>
      <c r="L11" s="253">
        <v>91.311476400000004</v>
      </c>
      <c r="M11" s="228">
        <v>39.700641913043484</v>
      </c>
      <c r="N11" s="233">
        <v>3782479.4522780562</v>
      </c>
      <c r="O11" s="234">
        <v>0.30794285323524268</v>
      </c>
      <c r="P11" s="338"/>
      <c r="Q11" s="127">
        <v>3396.5099999999998</v>
      </c>
      <c r="R11" s="93">
        <v>1047.51</v>
      </c>
      <c r="S11" s="331">
        <v>234.09</v>
      </c>
      <c r="T11" s="193">
        <f>SUM(Q11:S11)</f>
        <v>4678.1099999999997</v>
      </c>
      <c r="U11" s="96">
        <v>0.1</v>
      </c>
      <c r="V11" s="97">
        <v>0.7</v>
      </c>
      <c r="W11" s="98" t="s">
        <v>2</v>
      </c>
      <c r="X11" s="296">
        <f t="shared" si="0"/>
        <v>339.65100000000001</v>
      </c>
      <c r="Y11" s="293">
        <f>R11*V11</f>
        <v>733.25699999999995</v>
      </c>
      <c r="Z11" s="295"/>
      <c r="AA11" s="200">
        <f t="shared" si="2"/>
        <v>1072.9079999999999</v>
      </c>
      <c r="AB11" s="85">
        <f>AA11/AG11</f>
        <v>466.48173913043479</v>
      </c>
      <c r="AC11" s="102">
        <v>2158.2199999999998</v>
      </c>
      <c r="AD11" s="103">
        <v>8534.2999999999993</v>
      </c>
      <c r="AE11" s="104">
        <v>84582.5</v>
      </c>
      <c r="AF11" s="187">
        <f t="shared" si="3"/>
        <v>95275.02</v>
      </c>
      <c r="AG11" s="157">
        <v>2.2999999999999998</v>
      </c>
      <c r="AH11" s="98" t="s">
        <v>61</v>
      </c>
      <c r="AI11" s="221">
        <f t="shared" ref="AI11:AI46" si="9">SUM(AA11/T11)</f>
        <v>0.22934646684237864</v>
      </c>
      <c r="AJ11" s="216">
        <f t="shared" si="4"/>
        <v>1.7889024413705535E-2</v>
      </c>
      <c r="AK11" s="203">
        <v>7.8E-2</v>
      </c>
      <c r="AL11" s="253">
        <f>AK11*AA11</f>
        <v>83.686823999999987</v>
      </c>
      <c r="AM11" s="228">
        <f t="shared" si="6"/>
        <v>36.385575652173912</v>
      </c>
      <c r="AN11" s="233">
        <f t="shared" si="7"/>
        <v>3466636.4479723829</v>
      </c>
      <c r="AO11" s="234">
        <f t="shared" si="8"/>
        <v>0.28091248267479652</v>
      </c>
      <c r="AP11" s="338"/>
      <c r="AQ11" s="408">
        <f>(AL11*1000)/8.5</f>
        <v>9845.5087058823519</v>
      </c>
      <c r="AR11" s="379"/>
      <c r="AS11" s="357"/>
      <c r="AT11" s="333"/>
      <c r="AU11"/>
      <c r="AV11"/>
      <c r="AW11"/>
      <c r="AX11"/>
      <c r="AY11"/>
      <c r="BG11" s="372"/>
      <c r="BH11" s="372"/>
      <c r="BO11" s="371"/>
      <c r="BP11" s="371" t="s">
        <v>236</v>
      </c>
      <c r="BQ11" s="371" t="s">
        <v>237</v>
      </c>
      <c r="BR11" s="371" t="s">
        <v>238</v>
      </c>
      <c r="BS11" s="371" t="s">
        <v>239</v>
      </c>
      <c r="BT11" s="371"/>
    </row>
    <row r="12" spans="1:72" ht="14.15" customHeight="1" x14ac:dyDescent="0.35">
      <c r="A12" s="517"/>
      <c r="B12" s="73">
        <v>3014</v>
      </c>
      <c r="C12" s="43"/>
      <c r="D12" s="91" t="s">
        <v>106</v>
      </c>
      <c r="E12" s="122">
        <v>364.45</v>
      </c>
      <c r="F12" s="123">
        <v>107.56</v>
      </c>
      <c r="G12" s="331">
        <v>46.320000000000007</v>
      </c>
      <c r="H12" s="487">
        <v>518.33000000000004</v>
      </c>
      <c r="I12" s="221">
        <v>14.268130341674224</v>
      </c>
      <c r="J12" s="216">
        <v>0.28536260683348447</v>
      </c>
      <c r="K12" s="203">
        <v>0.02</v>
      </c>
      <c r="L12" s="253">
        <v>147.91200000000003</v>
      </c>
      <c r="M12" s="228">
        <v>9.8608000000000029</v>
      </c>
      <c r="N12" s="233">
        <v>137449.29676800003</v>
      </c>
      <c r="O12" s="234">
        <v>1.1190154277354699E-2</v>
      </c>
      <c r="P12" s="339">
        <v>6602418.4711145051</v>
      </c>
      <c r="Q12" s="127">
        <v>377.39</v>
      </c>
      <c r="R12" s="93">
        <v>116.39</v>
      </c>
      <c r="S12" s="128">
        <v>26.01</v>
      </c>
      <c r="T12" s="411">
        <f>SUM(Q12:S12)</f>
        <v>519.79</v>
      </c>
      <c r="U12" s="80" t="s">
        <v>2</v>
      </c>
      <c r="V12" s="81">
        <v>30</v>
      </c>
      <c r="W12" s="82">
        <v>90</v>
      </c>
      <c r="X12" s="296"/>
      <c r="Y12" s="293">
        <f>R12*V12</f>
        <v>3491.7</v>
      </c>
      <c r="Z12" s="295">
        <f t="shared" si="1"/>
        <v>2340.9</v>
      </c>
      <c r="AA12" s="200">
        <f t="shared" si="2"/>
        <v>5832.6</v>
      </c>
      <c r="AB12" s="101">
        <f>AA12/AG12</f>
        <v>388.84000000000003</v>
      </c>
      <c r="AC12" s="102">
        <v>1308.51</v>
      </c>
      <c r="AD12" s="103">
        <v>3791.7</v>
      </c>
      <c r="AE12" s="104">
        <v>8838.75</v>
      </c>
      <c r="AF12" s="187">
        <f t="shared" si="3"/>
        <v>13938.96</v>
      </c>
      <c r="AG12" s="212">
        <v>15</v>
      </c>
      <c r="AH12" s="98" t="s">
        <v>3</v>
      </c>
      <c r="AI12" s="221">
        <f t="shared" si="9"/>
        <v>11.221070047519191</v>
      </c>
      <c r="AJ12" s="216">
        <f t="shared" si="4"/>
        <v>0.92902594023355589</v>
      </c>
      <c r="AK12" s="203">
        <v>8.2792989999999997E-2</v>
      </c>
      <c r="AL12" s="253">
        <f t="shared" si="5"/>
        <v>482.89839347399999</v>
      </c>
      <c r="AM12" s="228">
        <f t="shared" si="6"/>
        <v>32.193226231600001</v>
      </c>
      <c r="AN12" s="233">
        <f t="shared" si="7"/>
        <v>448740.09271322313</v>
      </c>
      <c r="AO12" s="234">
        <f t="shared" si="8"/>
        <v>3.6362824718328843E-2</v>
      </c>
      <c r="AP12" s="339">
        <f>SUM(AN9:AN17)</f>
        <v>6296238.4589316808</v>
      </c>
      <c r="AQ12" s="425">
        <f>AL12/(0.05*8.5)</f>
        <v>1136.2315140564704</v>
      </c>
      <c r="AR12" s="430" t="s">
        <v>186</v>
      </c>
      <c r="AS12" s="430" t="s">
        <v>183</v>
      </c>
      <c r="AT12" s="431" t="s">
        <v>184</v>
      </c>
      <c r="AU12" s="431" t="s">
        <v>185</v>
      </c>
      <c r="AV12" s="431" t="s">
        <v>92</v>
      </c>
      <c r="AW12" s="409"/>
      <c r="AX12" s="409"/>
      <c r="AY12" s="409"/>
      <c r="BB12" s="430" t="s">
        <v>183</v>
      </c>
      <c r="BC12" s="431" t="s">
        <v>184</v>
      </c>
      <c r="BD12" s="431" t="s">
        <v>185</v>
      </c>
      <c r="BE12" s="431" t="s">
        <v>92</v>
      </c>
      <c r="BF12" s="373"/>
      <c r="BG12" s="373"/>
      <c r="BH12" s="373"/>
      <c r="BO12" s="440" t="s">
        <v>1</v>
      </c>
      <c r="BP12" s="372">
        <v>113.04</v>
      </c>
      <c r="BQ12" s="409">
        <f>72.13%*BP12</f>
        <v>81.535752000000002</v>
      </c>
      <c r="BR12" s="409">
        <f>22.97%*BP12</f>
        <v>25.965288000000001</v>
      </c>
      <c r="BS12" s="409">
        <f>4.9%*BP12</f>
        <v>5.5389600000000003</v>
      </c>
      <c r="BT12" s="409">
        <f>SUM(BQ12:BS12)</f>
        <v>113.04</v>
      </c>
    </row>
    <row r="13" spans="1:72" ht="14.15" customHeight="1" x14ac:dyDescent="0.35">
      <c r="A13" s="517"/>
      <c r="B13" s="73">
        <v>3015</v>
      </c>
      <c r="C13" s="43"/>
      <c r="D13" s="191" t="s">
        <v>108</v>
      </c>
      <c r="E13" s="127">
        <v>364.45</v>
      </c>
      <c r="F13" s="93">
        <v>107.56</v>
      </c>
      <c r="G13" s="128">
        <v>46.320000000000007</v>
      </c>
      <c r="H13" s="486">
        <v>518.33000000000004</v>
      </c>
      <c r="I13" s="221">
        <v>111.81486697663649</v>
      </c>
      <c r="J13" s="216"/>
      <c r="K13" s="203" t="s">
        <v>2</v>
      </c>
      <c r="L13" s="253"/>
      <c r="M13" s="228"/>
      <c r="N13" s="233"/>
      <c r="O13" s="234"/>
      <c r="P13" s="340">
        <v>0.53752243942093669</v>
      </c>
      <c r="Q13" s="127">
        <v>377.39</v>
      </c>
      <c r="R13" s="93">
        <v>116.39</v>
      </c>
      <c r="S13" s="128">
        <v>26.01</v>
      </c>
      <c r="T13" s="259"/>
      <c r="U13" s="157">
        <v>100</v>
      </c>
      <c r="V13" s="97">
        <v>200</v>
      </c>
      <c r="W13" s="152" t="s">
        <v>2</v>
      </c>
      <c r="X13" s="296">
        <f>Q13*U13</f>
        <v>37739</v>
      </c>
      <c r="Y13" s="293">
        <f>R13*V13</f>
        <v>23278</v>
      </c>
      <c r="Z13" s="295"/>
      <c r="AA13" s="200"/>
      <c r="AB13" s="85"/>
      <c r="AC13" s="102">
        <v>767.14</v>
      </c>
      <c r="AD13" s="103">
        <v>1516.14</v>
      </c>
      <c r="AE13" s="104">
        <v>342.28</v>
      </c>
      <c r="AF13" s="105">
        <f t="shared" si="3"/>
        <v>2625.5600000000004</v>
      </c>
      <c r="AG13" s="157">
        <v>300</v>
      </c>
      <c r="AH13" s="98" t="s">
        <v>62</v>
      </c>
      <c r="AI13" s="221"/>
      <c r="AJ13" s="216"/>
      <c r="AK13" s="203"/>
      <c r="AL13" s="253"/>
      <c r="AM13" s="228"/>
      <c r="AN13" s="233"/>
      <c r="AO13" s="234"/>
      <c r="AP13" s="340">
        <f>SUM(AO9:AO17)</f>
        <v>0.51020405616675824</v>
      </c>
      <c r="AQ13" s="374"/>
      <c r="AR13" s="430" t="s">
        <v>12</v>
      </c>
      <c r="AS13" s="430">
        <v>377.39</v>
      </c>
      <c r="AT13" s="431">
        <v>116.39</v>
      </c>
      <c r="AU13" s="431">
        <v>26.01</v>
      </c>
      <c r="AV13" s="431">
        <f>SUM(AS13:AU13)</f>
        <v>519.79</v>
      </c>
      <c r="AW13" s="409"/>
      <c r="AX13" s="409"/>
      <c r="AY13" s="409"/>
      <c r="BA13" s="436" t="s">
        <v>34</v>
      </c>
      <c r="BB13" s="454">
        <v>669.65000000000009</v>
      </c>
      <c r="BC13" s="455">
        <v>317.47000000000003</v>
      </c>
      <c r="BD13" s="456">
        <v>76.460000000000008</v>
      </c>
      <c r="BE13" s="431">
        <f t="shared" ref="BE13:BE35" si="10">SUM(BB13:BD13)</f>
        <v>1063.5800000000002</v>
      </c>
      <c r="BF13" s="374"/>
      <c r="BG13" s="374"/>
      <c r="BH13" s="374"/>
      <c r="BO13" s="440" t="s">
        <v>240</v>
      </c>
      <c r="BP13" s="372">
        <f>114.4-3.5</f>
        <v>110.9</v>
      </c>
      <c r="BQ13" s="409">
        <f>76.8%*BP13</f>
        <v>85.171200000000013</v>
      </c>
      <c r="BR13" s="409">
        <f>19.64%*BP13</f>
        <v>21.780760000000004</v>
      </c>
      <c r="BS13" s="409">
        <f>3.56%*BP13</f>
        <v>3.9480400000000002</v>
      </c>
      <c r="BT13" s="409">
        <f>SUM(BQ13:BS13)</f>
        <v>110.90000000000002</v>
      </c>
    </row>
    <row r="14" spans="1:72" ht="14.15" customHeight="1" x14ac:dyDescent="0.35">
      <c r="A14" s="517"/>
      <c r="B14" s="73">
        <v>3016</v>
      </c>
      <c r="C14" s="43"/>
      <c r="D14" s="91" t="s">
        <v>109</v>
      </c>
      <c r="E14" s="127">
        <v>3280.0499999999997</v>
      </c>
      <c r="F14" s="93">
        <v>968.04</v>
      </c>
      <c r="G14" s="94">
        <v>416.88</v>
      </c>
      <c r="H14" s="95">
        <v>3439.8346114061633</v>
      </c>
      <c r="I14" s="221">
        <v>8.9890513623734722E-2</v>
      </c>
      <c r="J14" s="216"/>
      <c r="K14" s="203" t="s">
        <v>2</v>
      </c>
      <c r="L14" s="253"/>
      <c r="M14" s="228"/>
      <c r="N14" s="233"/>
      <c r="O14" s="234"/>
      <c r="P14" s="338"/>
      <c r="Q14" s="127">
        <v>3396.5099999999998</v>
      </c>
      <c r="R14" s="93">
        <v>1047.51</v>
      </c>
      <c r="S14" s="331">
        <v>234.09</v>
      </c>
      <c r="T14" s="95"/>
      <c r="U14" s="157">
        <v>0.05</v>
      </c>
      <c r="V14" s="97">
        <v>0.15</v>
      </c>
      <c r="W14" s="152" t="s">
        <v>2</v>
      </c>
      <c r="X14" s="296">
        <f t="shared" si="0"/>
        <v>169.82550000000001</v>
      </c>
      <c r="Y14" s="293">
        <f t="shared" si="0"/>
        <v>157.12649999999999</v>
      </c>
      <c r="Z14" s="295"/>
      <c r="AA14" s="101"/>
      <c r="AB14" s="101"/>
      <c r="AC14" s="102">
        <v>1086.48</v>
      </c>
      <c r="AD14" s="103">
        <v>3727.46</v>
      </c>
      <c r="AE14" s="104">
        <v>17319.84</v>
      </c>
      <c r="AF14" s="189">
        <f t="shared" si="3"/>
        <v>22133.78</v>
      </c>
      <c r="AG14" s="212">
        <v>5</v>
      </c>
      <c r="AH14" s="98" t="s">
        <v>61</v>
      </c>
      <c r="AI14" s="221"/>
      <c r="AJ14" s="216"/>
      <c r="AK14" s="203"/>
      <c r="AL14" s="253"/>
      <c r="AM14" s="228"/>
      <c r="AN14" s="233"/>
      <c r="AO14" s="234"/>
      <c r="AP14" s="338"/>
      <c r="AQ14" s="372"/>
      <c r="AR14" s="432" t="s">
        <v>22</v>
      </c>
      <c r="AS14" s="433">
        <v>3.37</v>
      </c>
      <c r="AT14" s="434">
        <v>9.6999999999999993</v>
      </c>
      <c r="AU14" s="435">
        <v>0.3</v>
      </c>
      <c r="AV14" s="431">
        <f t="shared" ref="AV14:AV24" si="11">SUM(AS14:AU14)</f>
        <v>13.370000000000001</v>
      </c>
      <c r="AW14" s="409"/>
      <c r="AX14" s="409"/>
      <c r="AY14" s="409"/>
      <c r="BA14" s="349" t="s">
        <v>241</v>
      </c>
      <c r="BB14" s="349">
        <v>3.56</v>
      </c>
      <c r="BE14" s="431">
        <f t="shared" si="10"/>
        <v>3.56</v>
      </c>
      <c r="BF14" s="372"/>
      <c r="BG14" s="372"/>
      <c r="BH14" s="372"/>
      <c r="BO14" s="440" t="s">
        <v>242</v>
      </c>
      <c r="BP14" s="372">
        <f>106.76-1.94</f>
        <v>104.82000000000001</v>
      </c>
      <c r="BQ14" s="409">
        <f>72.57%*BP14</f>
        <v>76.067873999999989</v>
      </c>
      <c r="BR14" s="409">
        <f>23.17%*BP14</f>
        <v>24.286794000000004</v>
      </c>
      <c r="BS14" s="409">
        <v>4.47</v>
      </c>
      <c r="BT14" s="409">
        <f>SUM(BQ14:BS14)</f>
        <v>104.82466799999999</v>
      </c>
    </row>
    <row r="15" spans="1:72" ht="14.15" customHeight="1" x14ac:dyDescent="0.35">
      <c r="A15" s="517"/>
      <c r="B15" s="73">
        <v>3017</v>
      </c>
      <c r="C15" s="43"/>
      <c r="D15" s="91" t="s">
        <v>110</v>
      </c>
      <c r="E15" s="127">
        <v>3280.0499999999997</v>
      </c>
      <c r="F15" s="93">
        <v>968.04</v>
      </c>
      <c r="G15" s="128">
        <v>416.88</v>
      </c>
      <c r="H15" s="95">
        <v>3467.4275148212187</v>
      </c>
      <c r="I15" s="221">
        <v>8.917518785275684E-2</v>
      </c>
      <c r="J15" s="216"/>
      <c r="K15" s="203" t="s">
        <v>2</v>
      </c>
      <c r="L15" s="253"/>
      <c r="M15" s="228"/>
      <c r="N15" s="233"/>
      <c r="O15" s="234"/>
      <c r="P15" s="338"/>
      <c r="Q15" s="127">
        <v>3396.5099999999998</v>
      </c>
      <c r="R15" s="93">
        <v>1047.51</v>
      </c>
      <c r="S15" s="331">
        <v>234.09</v>
      </c>
      <c r="T15" s="95"/>
      <c r="U15" s="157">
        <v>0.05</v>
      </c>
      <c r="V15" s="97">
        <v>0.15</v>
      </c>
      <c r="W15" s="152" t="s">
        <v>2</v>
      </c>
      <c r="X15" s="296">
        <f t="shared" si="0"/>
        <v>169.82550000000001</v>
      </c>
      <c r="Y15" s="293">
        <f t="shared" si="0"/>
        <v>157.12649999999999</v>
      </c>
      <c r="Z15" s="295"/>
      <c r="AA15" s="101"/>
      <c r="AB15" s="101"/>
      <c r="AC15" s="102">
        <v>1086.48</v>
      </c>
      <c r="AD15" s="103">
        <v>3752.74</v>
      </c>
      <c r="AE15" s="104">
        <v>6387</v>
      </c>
      <c r="AF15" s="187">
        <f t="shared" si="3"/>
        <v>11226.22</v>
      </c>
      <c r="AG15" s="157">
        <v>2</v>
      </c>
      <c r="AH15" s="98" t="s">
        <v>61</v>
      </c>
      <c r="AI15" s="221"/>
      <c r="AJ15" s="216"/>
      <c r="AK15" s="203"/>
      <c r="AL15" s="253"/>
      <c r="AM15" s="228"/>
      <c r="AN15" s="233"/>
      <c r="AO15" s="234"/>
      <c r="AP15" s="338"/>
      <c r="AQ15" s="372"/>
      <c r="AR15" s="432" t="s">
        <v>188</v>
      </c>
      <c r="AS15" s="433">
        <v>408.51</v>
      </c>
      <c r="AT15" s="434">
        <v>86.51</v>
      </c>
      <c r="AU15" s="435">
        <v>30.26</v>
      </c>
      <c r="AV15" s="431">
        <f t="shared" si="11"/>
        <v>525.28</v>
      </c>
      <c r="AW15" s="409"/>
      <c r="AX15" s="409"/>
      <c r="AY15" s="409"/>
      <c r="BA15" s="349" t="s">
        <v>243</v>
      </c>
      <c r="BB15" s="349">
        <v>3.56</v>
      </c>
      <c r="BE15" s="431">
        <f t="shared" si="10"/>
        <v>3.56</v>
      </c>
      <c r="BF15" s="407"/>
      <c r="BG15" s="409"/>
      <c r="BH15" s="372"/>
      <c r="BO15" s="441" t="s">
        <v>244</v>
      </c>
      <c r="BP15" s="373">
        <f>169.81-1.38-2.5</f>
        <v>165.93</v>
      </c>
      <c r="BQ15" s="421">
        <f>74.69%*BP15</f>
        <v>123.93311700000001</v>
      </c>
      <c r="BR15" s="421">
        <f>20.72%*BP15</f>
        <v>34.380696</v>
      </c>
      <c r="BS15" s="421">
        <f>4.59%*BP15</f>
        <v>7.616187</v>
      </c>
      <c r="BT15" s="409">
        <f>SUM(BQ15:BS15)</f>
        <v>165.93</v>
      </c>
    </row>
    <row r="16" spans="1:72" ht="14.15" customHeight="1" x14ac:dyDescent="0.35">
      <c r="A16" s="517"/>
      <c r="B16" s="73">
        <v>3018</v>
      </c>
      <c r="C16" s="43"/>
      <c r="D16" s="91" t="s">
        <v>111</v>
      </c>
      <c r="E16" s="122">
        <v>364.45</v>
      </c>
      <c r="F16" s="123">
        <v>107.56</v>
      </c>
      <c r="G16" s="128">
        <v>46.320000000000007</v>
      </c>
      <c r="H16" s="486">
        <v>518.33000000000004</v>
      </c>
      <c r="I16" s="221">
        <v>57.582428182817893</v>
      </c>
      <c r="J16" s="216">
        <v>28.791214091408946</v>
      </c>
      <c r="K16" s="203">
        <v>0.5</v>
      </c>
      <c r="L16" s="253">
        <v>14923.35</v>
      </c>
      <c r="M16" s="228">
        <v>124.36125</v>
      </c>
      <c r="N16" s="233">
        <v>875888.71987500007</v>
      </c>
      <c r="O16" s="234">
        <v>7.130869444708457E-2</v>
      </c>
      <c r="P16" s="338"/>
      <c r="Q16" s="127">
        <v>377.39</v>
      </c>
      <c r="R16" s="93">
        <v>116.39</v>
      </c>
      <c r="S16" s="128">
        <v>26.01</v>
      </c>
      <c r="T16" s="259">
        <f t="shared" ref="T16:T22" si="12">SUM(Q16:S16)</f>
        <v>519.79</v>
      </c>
      <c r="U16" s="157">
        <v>30</v>
      </c>
      <c r="V16" s="97">
        <v>150</v>
      </c>
      <c r="W16" s="152">
        <v>60</v>
      </c>
      <c r="X16" s="296">
        <f t="shared" si="0"/>
        <v>11321.699999999999</v>
      </c>
      <c r="Y16" s="293">
        <f t="shared" si="0"/>
        <v>17458.5</v>
      </c>
      <c r="Z16" s="295">
        <f t="shared" si="1"/>
        <v>1560.6000000000001</v>
      </c>
      <c r="AA16" s="101">
        <f>SUM(X16:Z16)</f>
        <v>30340.799999999996</v>
      </c>
      <c r="AB16" s="101">
        <f t="shared" ref="AB16:AB46" si="13">AA16/AG16</f>
        <v>252.83999999999997</v>
      </c>
      <c r="AC16" s="102">
        <v>858.9</v>
      </c>
      <c r="AD16" s="103">
        <v>2211.9</v>
      </c>
      <c r="AE16" s="104">
        <v>3972.3</v>
      </c>
      <c r="AF16" s="105">
        <f t="shared" si="3"/>
        <v>7043.1</v>
      </c>
      <c r="AG16" s="212">
        <v>120</v>
      </c>
      <c r="AH16" s="208" t="s">
        <v>60</v>
      </c>
      <c r="AI16" s="221">
        <f t="shared" si="9"/>
        <v>58.37126531868639</v>
      </c>
      <c r="AJ16" s="216">
        <f t="shared" si="4"/>
        <v>25.416177449754709</v>
      </c>
      <c r="AK16" s="203">
        <v>0.43542276000000002</v>
      </c>
      <c r="AL16" s="253">
        <f t="shared" si="5"/>
        <v>13211.074876607998</v>
      </c>
      <c r="AM16" s="228">
        <f t="shared" si="6"/>
        <v>110.09229063839999</v>
      </c>
      <c r="AN16" s="233">
        <f t="shared" si="7"/>
        <v>775391.01219531498</v>
      </c>
      <c r="AO16" s="234">
        <f t="shared" si="8"/>
        <v>6.2832378747678996E-2</v>
      </c>
      <c r="AP16" s="338"/>
      <c r="AQ16" s="372"/>
      <c r="AR16" s="436" t="s">
        <v>189</v>
      </c>
      <c r="AS16" s="433">
        <f>429.2+427.8</f>
        <v>857</v>
      </c>
      <c r="AT16" s="434">
        <f>76.26+74.21</f>
        <v>150.47</v>
      </c>
      <c r="AU16" s="435">
        <f>19.46+20.26</f>
        <v>39.72</v>
      </c>
      <c r="AV16" s="431">
        <f t="shared" si="11"/>
        <v>1047.19</v>
      </c>
      <c r="AW16" s="409"/>
      <c r="AX16" s="409"/>
      <c r="AY16" s="409"/>
      <c r="BA16" s="349" t="s">
        <v>158</v>
      </c>
      <c r="BB16" s="349">
        <f>(2.2+2.9)</f>
        <v>5.0999999999999996</v>
      </c>
      <c r="BC16" s="349">
        <f>(1.5+1.4)</f>
        <v>2.9</v>
      </c>
      <c r="BE16" s="431">
        <f t="shared" si="10"/>
        <v>8</v>
      </c>
      <c r="BF16" s="407"/>
      <c r="BG16" s="409"/>
      <c r="BH16" s="372"/>
      <c r="BO16" s="442" t="s">
        <v>245</v>
      </c>
      <c r="BP16" s="414">
        <v>15.78</v>
      </c>
      <c r="BQ16" s="422">
        <f>2.9+2.3-0.4</f>
        <v>4.7999999999999989</v>
      </c>
      <c r="BR16" s="422">
        <f>0.6+7.98</f>
        <v>8.58</v>
      </c>
      <c r="BS16" s="422">
        <v>2.4</v>
      </c>
      <c r="BT16" s="409">
        <f>SUM(BQ16:BS16)</f>
        <v>15.78</v>
      </c>
    </row>
    <row r="17" spans="1:72" ht="14.15" customHeight="1" x14ac:dyDescent="0.35">
      <c r="A17" s="517"/>
      <c r="B17" s="74">
        <v>3019</v>
      </c>
      <c r="C17" s="44"/>
      <c r="D17" s="106" t="s">
        <v>112</v>
      </c>
      <c r="E17" s="132">
        <v>364.45</v>
      </c>
      <c r="F17" s="133">
        <v>107.56</v>
      </c>
      <c r="G17" s="173">
        <v>46.320000000000007</v>
      </c>
      <c r="H17" s="185">
        <v>518.33000000000004</v>
      </c>
      <c r="I17" s="223">
        <v>55.855343121177633</v>
      </c>
      <c r="J17" s="217">
        <v>23.459244110894605</v>
      </c>
      <c r="K17" s="204">
        <v>0.42</v>
      </c>
      <c r="L17" s="254">
        <v>12159.630000000001</v>
      </c>
      <c r="M17" s="229">
        <v>209.6487931034483</v>
      </c>
      <c r="N17" s="241">
        <v>1664366.1281534485</v>
      </c>
      <c r="O17" s="242">
        <v>0.1355009751666959</v>
      </c>
      <c r="P17" s="341"/>
      <c r="Q17" s="122">
        <v>377.39</v>
      </c>
      <c r="R17" s="410">
        <v>116.39</v>
      </c>
      <c r="S17" s="128">
        <v>26.01</v>
      </c>
      <c r="T17" s="412">
        <f t="shared" si="12"/>
        <v>519.79</v>
      </c>
      <c r="U17" s="160">
        <v>30</v>
      </c>
      <c r="V17" s="136">
        <v>90</v>
      </c>
      <c r="W17" s="161">
        <v>180</v>
      </c>
      <c r="X17" s="283">
        <f t="shared" si="0"/>
        <v>11321.699999999999</v>
      </c>
      <c r="Y17" s="291">
        <f t="shared" si="0"/>
        <v>10475.1</v>
      </c>
      <c r="Z17" s="292">
        <f t="shared" si="1"/>
        <v>4681.8</v>
      </c>
      <c r="AA17" s="138">
        <f t="shared" si="2"/>
        <v>26478.6</v>
      </c>
      <c r="AB17" s="85">
        <f t="shared" si="13"/>
        <v>456.5275862068965</v>
      </c>
      <c r="AC17" s="107">
        <v>1042.42</v>
      </c>
      <c r="AD17" s="108">
        <v>3352.46</v>
      </c>
      <c r="AE17" s="109">
        <v>3543.95</v>
      </c>
      <c r="AF17" s="89">
        <f t="shared" si="3"/>
        <v>7938.83</v>
      </c>
      <c r="AG17" s="160">
        <v>58</v>
      </c>
      <c r="AH17" s="209" t="s">
        <v>60</v>
      </c>
      <c r="AI17" s="223">
        <f t="shared" si="9"/>
        <v>50.940956924911987</v>
      </c>
      <c r="AJ17" s="217">
        <f t="shared" si="4"/>
        <v>20.376382769964795</v>
      </c>
      <c r="AK17" s="204">
        <v>0.4</v>
      </c>
      <c r="AL17" s="254">
        <f t="shared" si="5"/>
        <v>10591.44</v>
      </c>
      <c r="AM17" s="229">
        <f t="shared" si="6"/>
        <v>182.61103448275864</v>
      </c>
      <c r="AN17" s="241">
        <f t="shared" si="7"/>
        <v>1449717.9588827589</v>
      </c>
      <c r="AO17" s="242">
        <f t="shared" si="8"/>
        <v>0.11747521758336936</v>
      </c>
      <c r="AP17" s="341"/>
      <c r="AQ17" s="372"/>
      <c r="AR17" s="436" t="s">
        <v>190</v>
      </c>
      <c r="AS17" s="433">
        <v>16.940000000000001</v>
      </c>
      <c r="AT17" s="434">
        <f>4.6+5.2</f>
        <v>9.8000000000000007</v>
      </c>
      <c r="AU17" s="435">
        <v>0</v>
      </c>
      <c r="AV17" s="431">
        <f t="shared" si="11"/>
        <v>26.740000000000002</v>
      </c>
      <c r="AW17" s="409"/>
      <c r="AX17" s="409"/>
      <c r="AY17" s="409"/>
      <c r="BA17" s="349" t="s">
        <v>159</v>
      </c>
      <c r="BB17" s="423">
        <f>(5.8+5.8)</f>
        <v>11.6</v>
      </c>
      <c r="BE17" s="431">
        <f t="shared" si="10"/>
        <v>11.6</v>
      </c>
      <c r="BF17" s="407"/>
      <c r="BG17" s="408"/>
      <c r="BH17" s="372"/>
      <c r="BI17" s="349"/>
      <c r="BJ17" s="372"/>
      <c r="BK17" s="372"/>
      <c r="BL17" s="409"/>
      <c r="BM17" s="372"/>
      <c r="BO17" s="440" t="s">
        <v>246</v>
      </c>
      <c r="BP17" s="372">
        <v>3.5</v>
      </c>
      <c r="BQ17" s="372">
        <v>2.8</v>
      </c>
      <c r="BR17" s="372">
        <v>0.7</v>
      </c>
      <c r="BS17" s="372"/>
      <c r="BT17" s="372"/>
    </row>
    <row r="18" spans="1:72" ht="14.15" customHeight="1" x14ac:dyDescent="0.35">
      <c r="A18" s="525" t="s">
        <v>22</v>
      </c>
      <c r="B18" s="75">
        <v>1021</v>
      </c>
      <c r="C18" s="45"/>
      <c r="D18" s="76" t="s">
        <v>113</v>
      </c>
      <c r="E18" s="180">
        <v>3.37</v>
      </c>
      <c r="F18" s="78">
        <v>7.9</v>
      </c>
      <c r="G18" s="182">
        <v>1.94</v>
      </c>
      <c r="H18" s="488">
        <v>13.209999999999999</v>
      </c>
      <c r="I18" s="224">
        <v>10</v>
      </c>
      <c r="J18" s="215">
        <v>4</v>
      </c>
      <c r="K18" s="205">
        <v>0.4</v>
      </c>
      <c r="L18" s="255">
        <v>52.84</v>
      </c>
      <c r="M18" s="230">
        <v>3.5226666666666668</v>
      </c>
      <c r="N18" s="246">
        <v>12352.547706666668</v>
      </c>
      <c r="O18" s="245">
        <v>1.0056574882976411E-3</v>
      </c>
      <c r="P18" s="337"/>
      <c r="Q18" s="180">
        <v>3.37</v>
      </c>
      <c r="R18" s="78">
        <v>9.6999999999999993</v>
      </c>
      <c r="S18" s="182">
        <v>0.3</v>
      </c>
      <c r="T18" s="413">
        <f t="shared" si="12"/>
        <v>13.370000000000001</v>
      </c>
      <c r="U18" s="80">
        <v>10</v>
      </c>
      <c r="V18" s="81">
        <v>10</v>
      </c>
      <c r="W18" s="82">
        <v>10</v>
      </c>
      <c r="X18" s="297">
        <f t="shared" si="0"/>
        <v>33.700000000000003</v>
      </c>
      <c r="Y18" s="280">
        <f t="shared" si="0"/>
        <v>97</v>
      </c>
      <c r="Z18" s="281">
        <f t="shared" si="1"/>
        <v>3</v>
      </c>
      <c r="AA18" s="282">
        <f>SUM(X18:Z18)</f>
        <v>133.69999999999999</v>
      </c>
      <c r="AB18" s="126">
        <f t="shared" si="13"/>
        <v>8.9133333333333322</v>
      </c>
      <c r="AC18" s="86">
        <v>719.42</v>
      </c>
      <c r="AD18" s="87">
        <v>1810.17</v>
      </c>
      <c r="AE18" s="88">
        <v>977</v>
      </c>
      <c r="AF18" s="149">
        <f t="shared" si="3"/>
        <v>3506.59</v>
      </c>
      <c r="AG18" s="212">
        <v>15</v>
      </c>
      <c r="AH18" s="208" t="s">
        <v>3</v>
      </c>
      <c r="AI18" s="224">
        <f t="shared" si="9"/>
        <v>9.9999999999999982</v>
      </c>
      <c r="AJ18" s="215">
        <f t="shared" si="4"/>
        <v>4.4999999999999991</v>
      </c>
      <c r="AK18" s="205">
        <v>0.45</v>
      </c>
      <c r="AL18" s="255">
        <f>AK18*AA18</f>
        <v>60.164999999999999</v>
      </c>
      <c r="AM18" s="230">
        <f t="shared" si="6"/>
        <v>4.0110000000000001</v>
      </c>
      <c r="AN18" s="246">
        <f t="shared" si="7"/>
        <v>14064.932490000001</v>
      </c>
      <c r="AO18" s="245">
        <f t="shared" si="8"/>
        <v>1.1397258304170416E-3</v>
      </c>
      <c r="AP18" s="337"/>
      <c r="AQ18" s="372"/>
      <c r="AR18" s="436" t="s">
        <v>191</v>
      </c>
      <c r="AS18" s="433">
        <v>354.71</v>
      </c>
      <c r="AT18" s="434">
        <v>310.66000000000003</v>
      </c>
      <c r="AU18" s="435">
        <v>170.71</v>
      </c>
      <c r="AV18" s="431">
        <f t="shared" si="11"/>
        <v>836.08</v>
      </c>
      <c r="AW18" s="409"/>
      <c r="AX18" s="409"/>
      <c r="AY18" s="409"/>
      <c r="BA18" s="349" t="s">
        <v>160</v>
      </c>
      <c r="BB18" s="349">
        <f>(2+1.8)</f>
        <v>3.8</v>
      </c>
      <c r="BC18" s="349">
        <v>0.2</v>
      </c>
      <c r="BE18" s="431">
        <f t="shared" si="10"/>
        <v>4</v>
      </c>
      <c r="BI18" s="349"/>
      <c r="BJ18" s="373"/>
      <c r="BK18" s="373"/>
      <c r="BL18" s="373"/>
      <c r="BM18" s="373"/>
      <c r="BO18" s="440" t="s">
        <v>247</v>
      </c>
      <c r="BP18" s="372">
        <v>1.94</v>
      </c>
      <c r="BQ18" s="372"/>
      <c r="BR18" s="372"/>
      <c r="BS18" s="372">
        <v>1.94</v>
      </c>
      <c r="BT18" s="372"/>
    </row>
    <row r="19" spans="1:72" ht="14.15" customHeight="1" x14ac:dyDescent="0.35">
      <c r="A19" s="517"/>
      <c r="B19" s="73">
        <v>3022</v>
      </c>
      <c r="C19" s="43"/>
      <c r="D19" s="91" t="s">
        <v>114</v>
      </c>
      <c r="E19" s="77">
        <v>3.37</v>
      </c>
      <c r="F19" s="78">
        <v>7.9</v>
      </c>
      <c r="G19" s="79">
        <v>1.94</v>
      </c>
      <c r="H19" s="486">
        <v>13.209999999999999</v>
      </c>
      <c r="I19" s="221">
        <v>2</v>
      </c>
      <c r="J19" s="216">
        <v>1.8</v>
      </c>
      <c r="K19" s="203">
        <v>0.9</v>
      </c>
      <c r="L19" s="253">
        <v>23.777999999999999</v>
      </c>
      <c r="M19" s="228">
        <v>11.888999999999999</v>
      </c>
      <c r="N19" s="233">
        <v>37644.854039999998</v>
      </c>
      <c r="O19" s="234">
        <v>3.0647790447929893E-3</v>
      </c>
      <c r="P19" s="339">
        <v>369680.0974266667</v>
      </c>
      <c r="Q19" s="77">
        <v>3.37</v>
      </c>
      <c r="R19" s="78">
        <v>9.6999999999999993</v>
      </c>
      <c r="S19" s="79">
        <v>0.3</v>
      </c>
      <c r="T19" s="259">
        <f t="shared" si="12"/>
        <v>13.370000000000001</v>
      </c>
      <c r="U19" s="96">
        <v>2</v>
      </c>
      <c r="V19" s="97">
        <v>2</v>
      </c>
      <c r="W19" s="98">
        <v>2</v>
      </c>
      <c r="X19" s="296">
        <f t="shared" si="0"/>
        <v>6.74</v>
      </c>
      <c r="Y19" s="293">
        <f t="shared" si="0"/>
        <v>19.399999999999999</v>
      </c>
      <c r="Z19" s="295">
        <f>S19*W19</f>
        <v>0.6</v>
      </c>
      <c r="AA19" s="101">
        <f t="shared" ref="AA19:AA46" si="14">SUM(X19:Z19)</f>
        <v>26.740000000000002</v>
      </c>
      <c r="AB19" s="85">
        <f t="shared" si="13"/>
        <v>13.370000000000001</v>
      </c>
      <c r="AC19" s="102">
        <v>763.48</v>
      </c>
      <c r="AD19" s="103">
        <v>2342.88</v>
      </c>
      <c r="AE19" s="104">
        <v>60</v>
      </c>
      <c r="AF19" s="105">
        <f t="shared" si="3"/>
        <v>3166.36</v>
      </c>
      <c r="AG19" s="157">
        <v>2</v>
      </c>
      <c r="AH19" s="98" t="s">
        <v>63</v>
      </c>
      <c r="AI19" s="221">
        <f t="shared" si="9"/>
        <v>2</v>
      </c>
      <c r="AJ19" s="216">
        <f t="shared" si="4"/>
        <v>2</v>
      </c>
      <c r="AK19" s="203">
        <v>1</v>
      </c>
      <c r="AL19" s="253">
        <f>AK19*AA19</f>
        <v>26.740000000000002</v>
      </c>
      <c r="AM19" s="228">
        <f t="shared" si="6"/>
        <v>13.370000000000001</v>
      </c>
      <c r="AN19" s="233">
        <f t="shared" si="7"/>
        <v>42334.233200000002</v>
      </c>
      <c r="AO19" s="234">
        <f t="shared" si="8"/>
        <v>3.4304764081337369E-3</v>
      </c>
      <c r="AP19" s="339">
        <f>SUM(AN18:AN21)</f>
        <v>344331.75981500006</v>
      </c>
      <c r="AQ19" s="373"/>
      <c r="AR19" s="436" t="s">
        <v>34</v>
      </c>
      <c r="AS19" s="454">
        <v>669.65000000000009</v>
      </c>
      <c r="AT19" s="455">
        <v>317.47000000000003</v>
      </c>
      <c r="AU19" s="456">
        <v>76.460000000000008</v>
      </c>
      <c r="AV19" s="431">
        <f t="shared" si="11"/>
        <v>1063.5800000000002</v>
      </c>
      <c r="AW19" s="409"/>
      <c r="AX19" s="409"/>
      <c r="AY19" s="409"/>
      <c r="BA19" s="349" t="s">
        <v>161</v>
      </c>
      <c r="BB19" s="349">
        <f>(4.9+4.7)</f>
        <v>9.6000000000000014</v>
      </c>
      <c r="BC19" s="349">
        <v>0.2</v>
      </c>
      <c r="BE19" s="431">
        <f t="shared" si="10"/>
        <v>9.8000000000000007</v>
      </c>
      <c r="BJ19" s="392" t="s">
        <v>248</v>
      </c>
      <c r="BK19" s="392" t="s">
        <v>249</v>
      </c>
      <c r="BL19" s="392" t="s">
        <v>250</v>
      </c>
      <c r="BM19" s="392"/>
      <c r="BO19" s="440" t="s">
        <v>251</v>
      </c>
      <c r="BP19" s="372">
        <v>1.38</v>
      </c>
      <c r="BQ19" s="372">
        <v>1.38</v>
      </c>
      <c r="BR19" s="372"/>
      <c r="BS19" s="372"/>
      <c r="BT19" s="372"/>
    </row>
    <row r="20" spans="1:72" ht="14.15" customHeight="1" x14ac:dyDescent="0.35">
      <c r="A20" s="517"/>
      <c r="B20" s="73">
        <v>3023</v>
      </c>
      <c r="C20" s="43"/>
      <c r="D20" s="91" t="s">
        <v>115</v>
      </c>
      <c r="E20" s="92">
        <v>30.330000000000002</v>
      </c>
      <c r="F20" s="93">
        <v>71.100000000000009</v>
      </c>
      <c r="G20" s="94">
        <v>17.46</v>
      </c>
      <c r="H20" s="193">
        <v>118.89000000000001</v>
      </c>
      <c r="I20" s="221">
        <v>0.29636638909916724</v>
      </c>
      <c r="J20" s="391">
        <v>0.2370931112793338</v>
      </c>
      <c r="K20" s="203">
        <v>0.8</v>
      </c>
      <c r="L20" s="253">
        <v>28.188000000000002</v>
      </c>
      <c r="M20" s="104">
        <v>14.094000000000001</v>
      </c>
      <c r="N20" s="233">
        <v>281208.70278000005</v>
      </c>
      <c r="O20" s="384">
        <v>2.2894033234338029E-2</v>
      </c>
      <c r="P20" s="340">
        <v>3.0096751462136334E-2</v>
      </c>
      <c r="Q20" s="92">
        <v>30.330000000000002</v>
      </c>
      <c r="R20" s="93">
        <v>87.3</v>
      </c>
      <c r="S20" s="94">
        <v>2.6999999999999997</v>
      </c>
      <c r="T20" s="193">
        <f t="shared" si="12"/>
        <v>120.33</v>
      </c>
      <c r="U20" s="96" t="s">
        <v>2</v>
      </c>
      <c r="V20" s="97">
        <v>0.25</v>
      </c>
      <c r="W20" s="98">
        <v>1</v>
      </c>
      <c r="X20" s="296"/>
      <c r="Y20" s="293">
        <f t="shared" si="0"/>
        <v>21.824999999999999</v>
      </c>
      <c r="Z20" s="295">
        <f t="shared" si="1"/>
        <v>2.6999999999999997</v>
      </c>
      <c r="AA20" s="101">
        <f t="shared" si="14"/>
        <v>24.524999999999999</v>
      </c>
      <c r="AB20" s="101">
        <f t="shared" si="13"/>
        <v>12.262499999999999</v>
      </c>
      <c r="AC20" s="102">
        <v>1543.45</v>
      </c>
      <c r="AD20" s="103">
        <v>7988.92</v>
      </c>
      <c r="AE20" s="104">
        <v>10420</v>
      </c>
      <c r="AF20" s="189">
        <f t="shared" si="3"/>
        <v>19952.370000000003</v>
      </c>
      <c r="AG20" s="157">
        <v>2</v>
      </c>
      <c r="AH20" s="98" t="s">
        <v>61</v>
      </c>
      <c r="AI20" s="221">
        <f t="shared" si="9"/>
        <v>0.20381451009723262</v>
      </c>
      <c r="AJ20" s="391">
        <f t="shared" si="4"/>
        <v>0.20381451009723262</v>
      </c>
      <c r="AK20" s="203">
        <v>1</v>
      </c>
      <c r="AL20" s="253">
        <f>AK20*AA20</f>
        <v>24.524999999999999</v>
      </c>
      <c r="AM20" s="104">
        <f t="shared" si="6"/>
        <v>12.262499999999999</v>
      </c>
      <c r="AN20" s="233">
        <f t="shared" si="7"/>
        <v>244665.93712500003</v>
      </c>
      <c r="AO20" s="384">
        <f t="shared" si="8"/>
        <v>1.9826052386871736E-2</v>
      </c>
      <c r="AP20" s="340">
        <f>SUM(AO18:AO21)</f>
        <v>2.7902288274269011E-2</v>
      </c>
      <c r="AQ20" s="392"/>
      <c r="AR20" s="436" t="s">
        <v>193</v>
      </c>
      <c r="AS20" s="433">
        <f>4677+2+362</f>
        <v>5041</v>
      </c>
      <c r="AT20" s="434">
        <f>12+598+120</f>
        <v>730</v>
      </c>
      <c r="AU20" s="435">
        <f>175+15</f>
        <v>190</v>
      </c>
      <c r="AV20" s="431">
        <f t="shared" si="11"/>
        <v>5961</v>
      </c>
      <c r="AW20" s="409"/>
      <c r="AX20" s="409"/>
      <c r="AY20" s="409"/>
      <c r="BA20" s="349" t="s">
        <v>162</v>
      </c>
      <c r="BB20" s="334">
        <f>(14.4+14.4)</f>
        <v>28.8</v>
      </c>
      <c r="BC20" s="334"/>
      <c r="BD20" s="334"/>
      <c r="BE20" s="431">
        <f t="shared" si="10"/>
        <v>28.8</v>
      </c>
      <c r="BI20" s="349"/>
      <c r="BJ20" s="372" t="s">
        <v>252</v>
      </c>
      <c r="BK20" s="372">
        <v>2.87</v>
      </c>
      <c r="BL20" s="372">
        <v>0.5</v>
      </c>
      <c r="BM20" s="372">
        <f>SUM(BK20:BL20)</f>
        <v>3.37</v>
      </c>
      <c r="BO20" s="441" t="s">
        <v>253</v>
      </c>
      <c r="BP20" s="373">
        <v>2.5</v>
      </c>
      <c r="BQ20" s="373">
        <v>1.7</v>
      </c>
      <c r="BR20" s="373">
        <v>0.7</v>
      </c>
      <c r="BS20" s="373">
        <v>0.1</v>
      </c>
      <c r="BT20" s="372"/>
    </row>
    <row r="21" spans="1:72" ht="14.15" customHeight="1" x14ac:dyDescent="0.35">
      <c r="A21" s="526"/>
      <c r="B21" s="74">
        <v>3024</v>
      </c>
      <c r="C21" s="44"/>
      <c r="D21" s="106" t="s">
        <v>116</v>
      </c>
      <c r="E21" s="122">
        <v>3.37</v>
      </c>
      <c r="F21" s="133">
        <v>7.9</v>
      </c>
      <c r="G21" s="124">
        <v>1.94</v>
      </c>
      <c r="H21" s="487">
        <v>13.209999999999999</v>
      </c>
      <c r="I21" s="225">
        <v>2</v>
      </c>
      <c r="J21" s="393">
        <v>1.8</v>
      </c>
      <c r="K21" s="204">
        <v>0.9</v>
      </c>
      <c r="L21" s="256">
        <v>23.777999999999999</v>
      </c>
      <c r="M21" s="386">
        <v>11.888999999999999</v>
      </c>
      <c r="N21" s="241">
        <v>38473.992900000005</v>
      </c>
      <c r="O21" s="494">
        <v>3.1322816947076753E-3</v>
      </c>
      <c r="P21" s="341"/>
      <c r="Q21" s="122">
        <v>3.37</v>
      </c>
      <c r="R21" s="133">
        <v>9.6999999999999993</v>
      </c>
      <c r="S21" s="124">
        <v>0.3</v>
      </c>
      <c r="T21" s="411">
        <f t="shared" si="12"/>
        <v>13.370000000000001</v>
      </c>
      <c r="U21" s="163">
        <v>2</v>
      </c>
      <c r="V21" s="164">
        <v>2</v>
      </c>
      <c r="W21" s="165">
        <v>2</v>
      </c>
      <c r="X21" s="283">
        <f t="shared" si="0"/>
        <v>6.74</v>
      </c>
      <c r="Y21" s="291">
        <f t="shared" si="0"/>
        <v>19.399999999999999</v>
      </c>
      <c r="Z21" s="292">
        <f>S21*W21</f>
        <v>0.6</v>
      </c>
      <c r="AA21" s="200">
        <f t="shared" si="14"/>
        <v>26.740000000000002</v>
      </c>
      <c r="AB21" s="85">
        <f t="shared" si="13"/>
        <v>13.370000000000001</v>
      </c>
      <c r="AC21" s="107">
        <v>833.22</v>
      </c>
      <c r="AD21" s="108">
        <v>2342.88</v>
      </c>
      <c r="AE21" s="109">
        <v>60</v>
      </c>
      <c r="AF21" s="110">
        <f t="shared" si="3"/>
        <v>3236.1000000000004</v>
      </c>
      <c r="AG21" s="213">
        <v>2</v>
      </c>
      <c r="AH21" s="210" t="s">
        <v>63</v>
      </c>
      <c r="AI21" s="225">
        <f t="shared" si="9"/>
        <v>2</v>
      </c>
      <c r="AJ21" s="217">
        <f t="shared" si="4"/>
        <v>2</v>
      </c>
      <c r="AK21" s="204">
        <v>1</v>
      </c>
      <c r="AL21" s="256">
        <f t="shared" si="5"/>
        <v>26.740000000000002</v>
      </c>
      <c r="AM21" s="229">
        <f t="shared" si="6"/>
        <v>13.370000000000001</v>
      </c>
      <c r="AN21" s="241">
        <f t="shared" si="7"/>
        <v>43266.657000000007</v>
      </c>
      <c r="AO21" s="248">
        <f t="shared" si="8"/>
        <v>3.5060336488464947E-3</v>
      </c>
      <c r="AP21" s="341"/>
      <c r="AQ21" s="372"/>
      <c r="AR21" s="436" t="s">
        <v>39</v>
      </c>
      <c r="AS21" s="433">
        <v>376</v>
      </c>
      <c r="AT21" s="434">
        <v>571</v>
      </c>
      <c r="AU21" s="435">
        <v>35</v>
      </c>
      <c r="AV21" s="431">
        <f t="shared" si="11"/>
        <v>982</v>
      </c>
      <c r="AW21" s="409"/>
      <c r="AX21" s="409"/>
      <c r="AY21" s="409"/>
      <c r="BA21" s="349" t="s">
        <v>254</v>
      </c>
      <c r="BB21" s="349">
        <f>(14.4+14.4)</f>
        <v>28.8</v>
      </c>
      <c r="BE21" s="431">
        <f t="shared" si="10"/>
        <v>28.8</v>
      </c>
      <c r="BI21" s="349"/>
      <c r="BJ21" s="372" t="s">
        <v>255</v>
      </c>
      <c r="BK21" s="372">
        <v>7.9</v>
      </c>
      <c r="BL21" s="372">
        <v>1.8</v>
      </c>
      <c r="BM21" s="372">
        <f>SUM(BK21:BL21)</f>
        <v>9.7000000000000011</v>
      </c>
      <c r="BO21" s="443" t="s">
        <v>256</v>
      </c>
      <c r="BP21" s="349">
        <f>SUM(BP12:BP20)</f>
        <v>519.79000000000008</v>
      </c>
      <c r="BQ21" s="423">
        <f>SUM(BQ12:BQ20)</f>
        <v>377.38794300000001</v>
      </c>
      <c r="BR21" s="423">
        <f>SUM(BR12:BR20)</f>
        <v>116.39353800000001</v>
      </c>
      <c r="BS21" s="423">
        <f>SUM(BS12:BS20)</f>
        <v>26.013187000000002</v>
      </c>
      <c r="BT21" s="409">
        <f>SUM(BQ21:BS21)</f>
        <v>519.794668</v>
      </c>
    </row>
    <row r="22" spans="1:72" ht="14.15" customHeight="1" x14ac:dyDescent="0.35">
      <c r="A22" s="514" t="s">
        <v>28</v>
      </c>
      <c r="B22" s="140">
        <v>1041</v>
      </c>
      <c r="C22" s="42"/>
      <c r="D22" s="141" t="s">
        <v>117</v>
      </c>
      <c r="E22" s="180">
        <v>320.81</v>
      </c>
      <c r="F22" s="78">
        <v>305.86</v>
      </c>
      <c r="G22" s="182">
        <v>162.91999999999999</v>
      </c>
      <c r="H22" s="192">
        <v>789.59</v>
      </c>
      <c r="I22" s="224">
        <v>4</v>
      </c>
      <c r="J22" s="495">
        <v>0.6</v>
      </c>
      <c r="K22" s="205">
        <v>0.15</v>
      </c>
      <c r="L22" s="257">
        <v>473.75400000000002</v>
      </c>
      <c r="M22" s="496">
        <v>592.1925</v>
      </c>
      <c r="N22" s="246">
        <v>612889.62787500001</v>
      </c>
      <c r="O22" s="497">
        <v>4.9897159550316941E-2</v>
      </c>
      <c r="P22" s="337"/>
      <c r="Q22" s="180">
        <v>354.71</v>
      </c>
      <c r="R22" s="78">
        <v>322.66000000000003</v>
      </c>
      <c r="S22" s="182">
        <v>158.71</v>
      </c>
      <c r="T22" s="192">
        <f t="shared" si="12"/>
        <v>836.08</v>
      </c>
      <c r="U22" s="96">
        <v>4</v>
      </c>
      <c r="V22" s="97">
        <v>4</v>
      </c>
      <c r="W22" s="98">
        <v>4</v>
      </c>
      <c r="X22" s="279">
        <f t="shared" si="0"/>
        <v>1418.84</v>
      </c>
      <c r="Y22" s="284">
        <f t="shared" si="0"/>
        <v>1290.6400000000001</v>
      </c>
      <c r="Z22" s="286">
        <f t="shared" si="1"/>
        <v>634.84</v>
      </c>
      <c r="AA22" s="126">
        <f t="shared" si="14"/>
        <v>3344.32</v>
      </c>
      <c r="AB22" s="120">
        <f t="shared" si="13"/>
        <v>4180.3999999999996</v>
      </c>
      <c r="AC22" s="170">
        <v>559.75</v>
      </c>
      <c r="AD22" s="90">
        <v>475.2</v>
      </c>
      <c r="AE22" s="88"/>
      <c r="AF22" s="149">
        <f t="shared" si="3"/>
        <v>1034.95</v>
      </c>
      <c r="AG22" s="157">
        <v>0.8</v>
      </c>
      <c r="AH22" s="98" t="s">
        <v>63</v>
      </c>
      <c r="AI22" s="224">
        <f t="shared" si="9"/>
        <v>4</v>
      </c>
      <c r="AJ22" s="215">
        <f t="shared" si="4"/>
        <v>0.6</v>
      </c>
      <c r="AK22" s="205">
        <v>0.15</v>
      </c>
      <c r="AL22" s="257">
        <f t="shared" si="5"/>
        <v>501.64800000000002</v>
      </c>
      <c r="AM22" s="230">
        <f t="shared" si="6"/>
        <v>627.05999999999995</v>
      </c>
      <c r="AN22" s="246">
        <f t="shared" si="7"/>
        <v>648975.74699999997</v>
      </c>
      <c r="AO22" s="247">
        <f t="shared" si="8"/>
        <v>5.2588551185437996E-2</v>
      </c>
      <c r="AP22" s="337"/>
      <c r="AQ22" s="372"/>
      <c r="AR22" s="436" t="s">
        <v>42</v>
      </c>
      <c r="AS22" s="433">
        <v>53</v>
      </c>
      <c r="AT22" s="434">
        <v>18</v>
      </c>
      <c r="AU22" s="435"/>
      <c r="AV22" s="431">
        <f t="shared" si="11"/>
        <v>71</v>
      </c>
      <c r="AW22" s="409"/>
      <c r="AX22" s="409"/>
      <c r="AY22" s="409"/>
      <c r="BA22" s="349" t="s">
        <v>257</v>
      </c>
      <c r="BB22" s="349">
        <f>(2.1+2.1)</f>
        <v>4.2</v>
      </c>
      <c r="BE22" s="431">
        <f t="shared" si="10"/>
        <v>4.2</v>
      </c>
      <c r="BI22" s="349"/>
      <c r="BJ22" s="372" t="s">
        <v>258</v>
      </c>
      <c r="BK22" s="372"/>
      <c r="BL22" s="372">
        <v>0.3</v>
      </c>
      <c r="BM22" s="372">
        <f>SUM(BK22:BL22)</f>
        <v>0.3</v>
      </c>
      <c r="BO22" s="349"/>
      <c r="BP22" s="349"/>
      <c r="BQ22" s="349"/>
      <c r="BR22" s="349"/>
      <c r="BS22" s="349"/>
      <c r="BT22" s="373"/>
    </row>
    <row r="23" spans="1:72" ht="14.15" customHeight="1" x14ac:dyDescent="0.35">
      <c r="A23" s="515"/>
      <c r="B23" s="73">
        <v>1042</v>
      </c>
      <c r="C23" s="43"/>
      <c r="D23" s="91" t="s">
        <v>118</v>
      </c>
      <c r="E23" s="172">
        <v>481.21500000000003</v>
      </c>
      <c r="F23" s="123">
        <v>458.79</v>
      </c>
      <c r="G23" s="173">
        <v>244.38</v>
      </c>
      <c r="H23" s="95">
        <v>1184.3850000000002</v>
      </c>
      <c r="I23" s="221">
        <v>23.999999999999996</v>
      </c>
      <c r="J23" s="391"/>
      <c r="K23" s="203" t="s">
        <v>2</v>
      </c>
      <c r="L23" s="253"/>
      <c r="M23" s="104"/>
      <c r="N23" s="233"/>
      <c r="O23" s="384"/>
      <c r="P23" s="338"/>
      <c r="Q23" s="172">
        <v>532.06499999999994</v>
      </c>
      <c r="R23" s="123">
        <v>483.99</v>
      </c>
      <c r="S23" s="173">
        <v>238.065</v>
      </c>
      <c r="T23" s="95"/>
      <c r="U23" s="96">
        <v>24</v>
      </c>
      <c r="V23" s="97">
        <v>24</v>
      </c>
      <c r="W23" s="152">
        <v>24</v>
      </c>
      <c r="X23" s="303">
        <f t="shared" si="0"/>
        <v>12769.559999999998</v>
      </c>
      <c r="Y23" s="293">
        <f t="shared" si="0"/>
        <v>11615.76</v>
      </c>
      <c r="Z23" s="298">
        <f t="shared" si="1"/>
        <v>5713.5599999999995</v>
      </c>
      <c r="AA23" s="101"/>
      <c r="AB23" s="200"/>
      <c r="AC23" s="102">
        <v>398.25</v>
      </c>
      <c r="AD23" s="103">
        <v>185.75</v>
      </c>
      <c r="AE23" s="104"/>
      <c r="AF23" s="189">
        <f t="shared" si="3"/>
        <v>584</v>
      </c>
      <c r="AG23" s="157">
        <v>4.5</v>
      </c>
      <c r="AH23" s="98" t="s">
        <v>61</v>
      </c>
      <c r="AI23" s="221"/>
      <c r="AJ23" s="216"/>
      <c r="AK23" s="203" t="s">
        <v>2</v>
      </c>
      <c r="AL23" s="253"/>
      <c r="AM23" s="228"/>
      <c r="AN23" s="233"/>
      <c r="AO23" s="234"/>
      <c r="AP23" s="338"/>
      <c r="AQ23" s="372"/>
      <c r="AR23" s="436" t="s">
        <v>196</v>
      </c>
      <c r="AS23" s="433">
        <f>51646.5+107.7</f>
        <v>51754.2</v>
      </c>
      <c r="AT23" s="434">
        <f>2889.5</f>
        <v>2889.5</v>
      </c>
      <c r="AU23" s="435">
        <f>668</f>
        <v>668</v>
      </c>
      <c r="AV23" s="431">
        <f t="shared" si="11"/>
        <v>55311.7</v>
      </c>
      <c r="AW23" s="409"/>
      <c r="AX23" s="409"/>
      <c r="AY23" s="409"/>
      <c r="BA23" s="451" t="s">
        <v>259</v>
      </c>
      <c r="BB23" s="451">
        <f>4.2</f>
        <v>4.2</v>
      </c>
      <c r="BC23" s="451"/>
      <c r="BD23" s="355"/>
      <c r="BE23" s="431">
        <f t="shared" si="10"/>
        <v>4.2</v>
      </c>
      <c r="BI23" s="349"/>
      <c r="BJ23" s="373"/>
      <c r="BK23" s="373"/>
      <c r="BL23" s="373"/>
      <c r="BM23" s="373">
        <f>SUM(BM20:BM22)</f>
        <v>13.370000000000001</v>
      </c>
      <c r="BO23" s="392"/>
      <c r="BP23" s="392"/>
      <c r="BQ23" s="392"/>
      <c r="BR23" s="392"/>
      <c r="BS23" s="392"/>
      <c r="BT23" s="392"/>
    </row>
    <row r="24" spans="1:72" ht="14.15" customHeight="1" x14ac:dyDescent="0.35">
      <c r="A24" s="515"/>
      <c r="B24" s="73">
        <v>1043</v>
      </c>
      <c r="C24" s="43"/>
      <c r="D24" s="91" t="s">
        <v>119</v>
      </c>
      <c r="E24" s="92">
        <v>0</v>
      </c>
      <c r="F24" s="93">
        <v>0</v>
      </c>
      <c r="G24" s="94"/>
      <c r="H24" s="174" t="s">
        <v>26</v>
      </c>
      <c r="I24" s="221"/>
      <c r="J24" s="391"/>
      <c r="K24" s="203" t="s">
        <v>2</v>
      </c>
      <c r="L24" s="253"/>
      <c r="M24" s="104"/>
      <c r="N24" s="233"/>
      <c r="O24" s="384"/>
      <c r="P24" s="339">
        <v>789264.76662999997</v>
      </c>
      <c r="Q24" s="92">
        <v>0</v>
      </c>
      <c r="R24" s="93">
        <v>0</v>
      </c>
      <c r="S24" s="94"/>
      <c r="T24" s="174"/>
      <c r="U24" s="96">
        <v>4</v>
      </c>
      <c r="V24" s="97">
        <v>4</v>
      </c>
      <c r="W24" s="130">
        <v>4</v>
      </c>
      <c r="X24" s="283">
        <f t="shared" si="0"/>
        <v>0</v>
      </c>
      <c r="Y24" s="289">
        <f t="shared" si="0"/>
        <v>0</v>
      </c>
      <c r="Z24" s="288">
        <f t="shared" si="1"/>
        <v>0</v>
      </c>
      <c r="AA24" s="101"/>
      <c r="AB24" s="101"/>
      <c r="AC24" s="102">
        <v>699.23</v>
      </c>
      <c r="AD24" s="103">
        <v>539.79999999999995</v>
      </c>
      <c r="AE24" s="104"/>
      <c r="AF24" s="187">
        <f t="shared" si="3"/>
        <v>1239.03</v>
      </c>
      <c r="AG24" s="157">
        <v>0.8</v>
      </c>
      <c r="AH24" s="98" t="s">
        <v>63</v>
      </c>
      <c r="AI24" s="221"/>
      <c r="AJ24" s="216"/>
      <c r="AK24" s="203" t="s">
        <v>2</v>
      </c>
      <c r="AL24" s="253"/>
      <c r="AM24" s="228"/>
      <c r="AN24" s="233"/>
      <c r="AO24" s="234"/>
      <c r="AP24" s="339">
        <f>SUM(AN22:AN26)</f>
        <v>889936.37381000002</v>
      </c>
      <c r="AQ24" s="373"/>
      <c r="AR24" s="436" t="s">
        <v>197</v>
      </c>
      <c r="AS24" s="433">
        <f>8.22+2.7+0.2</f>
        <v>11.120000000000001</v>
      </c>
      <c r="AT24" s="434">
        <v>0.7</v>
      </c>
      <c r="AU24" s="435"/>
      <c r="AV24" s="431">
        <f t="shared" si="11"/>
        <v>11.82</v>
      </c>
      <c r="AW24" s="409"/>
      <c r="AX24" s="409"/>
      <c r="AY24" s="409"/>
      <c r="BI24" s="349"/>
      <c r="BJ24" s="374"/>
      <c r="BK24" s="374"/>
      <c r="BL24" s="374"/>
      <c r="BM24" s="374"/>
      <c r="BO24" s="372"/>
      <c r="BP24" s="372"/>
      <c r="BQ24" s="372"/>
      <c r="BR24" s="372"/>
      <c r="BS24" s="372"/>
      <c r="BT24" s="372"/>
    </row>
    <row r="25" spans="1:72" ht="14.15" customHeight="1" x14ac:dyDescent="0.35">
      <c r="A25" s="515"/>
      <c r="B25" s="73">
        <v>4044</v>
      </c>
      <c r="C25" s="43"/>
      <c r="D25" s="91" t="s">
        <v>120</v>
      </c>
      <c r="E25" s="92">
        <v>17.37</v>
      </c>
      <c r="F25" s="93">
        <v>2.8</v>
      </c>
      <c r="G25" s="94">
        <v>0.1</v>
      </c>
      <c r="H25" s="174">
        <v>20.270000000000003</v>
      </c>
      <c r="I25" s="221">
        <v>1</v>
      </c>
      <c r="J25" s="391">
        <v>1</v>
      </c>
      <c r="K25" s="203">
        <v>1</v>
      </c>
      <c r="L25" s="253">
        <v>20.270000000000003</v>
      </c>
      <c r="M25" s="104">
        <v>5.0675000000000008</v>
      </c>
      <c r="N25" s="233">
        <v>6086.4222250000003</v>
      </c>
      <c r="O25" s="384">
        <v>4.9551365700931604E-4</v>
      </c>
      <c r="P25" s="340">
        <v>6.4256381894608972E-2</v>
      </c>
      <c r="Q25" s="92">
        <v>16.940000000000001</v>
      </c>
      <c r="R25" s="93">
        <v>9.8000000000000007</v>
      </c>
      <c r="S25" s="94">
        <v>0</v>
      </c>
      <c r="T25" s="262">
        <f t="shared" ref="T25:T30" si="15">SUM(Q25:S25)</f>
        <v>26.740000000000002</v>
      </c>
      <c r="U25" s="96">
        <v>1</v>
      </c>
      <c r="V25" s="97">
        <v>1</v>
      </c>
      <c r="W25" s="152">
        <v>1</v>
      </c>
      <c r="X25" s="303">
        <f t="shared" si="0"/>
        <v>16.940000000000001</v>
      </c>
      <c r="Y25" s="293">
        <f t="shared" si="0"/>
        <v>9.8000000000000007</v>
      </c>
      <c r="Z25" s="298">
        <f t="shared" si="1"/>
        <v>0</v>
      </c>
      <c r="AA25" s="101">
        <f t="shared" si="14"/>
        <v>26.740000000000002</v>
      </c>
      <c r="AB25" s="85">
        <f t="shared" si="13"/>
        <v>6.6850000000000005</v>
      </c>
      <c r="AC25" s="102">
        <v>326.68</v>
      </c>
      <c r="AD25" s="103">
        <v>874.39</v>
      </c>
      <c r="AE25" s="104"/>
      <c r="AF25" s="187">
        <f t="shared" si="3"/>
        <v>1201.07</v>
      </c>
      <c r="AG25" s="157">
        <v>4</v>
      </c>
      <c r="AH25" s="98" t="s">
        <v>63</v>
      </c>
      <c r="AI25" s="221">
        <f t="shared" si="9"/>
        <v>1</v>
      </c>
      <c r="AJ25" s="216">
        <f t="shared" si="4"/>
        <v>1</v>
      </c>
      <c r="AK25" s="203">
        <v>1</v>
      </c>
      <c r="AL25" s="253">
        <f t="shared" si="5"/>
        <v>26.740000000000002</v>
      </c>
      <c r="AM25" s="228">
        <f t="shared" si="6"/>
        <v>6.6850000000000005</v>
      </c>
      <c r="AN25" s="233">
        <f t="shared" si="7"/>
        <v>8029.1529500000006</v>
      </c>
      <c r="AO25" s="234">
        <f t="shared" si="8"/>
        <v>6.5062758175273613E-4</v>
      </c>
      <c r="AP25" s="340">
        <f>SUM(AO22:AO26)</f>
        <v>7.211435059358276E-2</v>
      </c>
      <c r="AQ25" s="374"/>
      <c r="AR25" s="436" t="s">
        <v>198</v>
      </c>
      <c r="AS25" s="433">
        <v>226.26</v>
      </c>
      <c r="AT25" s="434">
        <v>0.7</v>
      </c>
      <c r="AU25" s="435">
        <v>9.68</v>
      </c>
      <c r="AV25" s="431">
        <f>SUM(AS25:AU25)</f>
        <v>236.64</v>
      </c>
      <c r="AW25" s="409"/>
      <c r="AX25" s="409"/>
      <c r="AY25" s="409"/>
      <c r="AZ25" s="349" t="s">
        <v>260</v>
      </c>
      <c r="BA25" s="349" t="s">
        <v>241</v>
      </c>
      <c r="BB25" s="349">
        <f>3.56*3*2</f>
        <v>21.36</v>
      </c>
      <c r="BE25" s="431">
        <f t="shared" si="10"/>
        <v>21.36</v>
      </c>
      <c r="BJ25" s="394" t="s">
        <v>217</v>
      </c>
      <c r="BK25" s="394" t="s">
        <v>183</v>
      </c>
      <c r="BL25" s="394" t="s">
        <v>228</v>
      </c>
      <c r="BM25" s="394" t="s">
        <v>220</v>
      </c>
      <c r="BO25" s="372"/>
      <c r="BP25" s="372"/>
      <c r="BQ25" s="409"/>
      <c r="BR25" s="409"/>
      <c r="BS25" s="409"/>
      <c r="BT25" s="372"/>
    </row>
    <row r="26" spans="1:72" ht="14.15" customHeight="1" x14ac:dyDescent="0.35">
      <c r="A26" s="515"/>
      <c r="B26" s="74">
        <v>4045</v>
      </c>
      <c r="C26" s="44"/>
      <c r="D26" s="106" t="s">
        <v>121</v>
      </c>
      <c r="E26" s="92">
        <v>217.56</v>
      </c>
      <c r="F26" s="93">
        <v>270.77999999999997</v>
      </c>
      <c r="G26" s="94">
        <v>136.84</v>
      </c>
      <c r="H26" s="159">
        <v>625.17999999999995</v>
      </c>
      <c r="I26" s="222">
        <v>1</v>
      </c>
      <c r="J26" s="393">
        <v>0.15</v>
      </c>
      <c r="K26" s="204">
        <v>0.15</v>
      </c>
      <c r="L26" s="256">
        <v>93.776999999999987</v>
      </c>
      <c r="M26" s="385">
        <v>93.776999999999987</v>
      </c>
      <c r="N26" s="243">
        <v>170288.71652999998</v>
      </c>
      <c r="O26" s="387">
        <v>1.3863708687282707E-2</v>
      </c>
      <c r="P26" s="341"/>
      <c r="Q26" s="92">
        <v>220.06</v>
      </c>
      <c r="R26" s="93">
        <v>285.5</v>
      </c>
      <c r="S26" s="94">
        <v>135.81</v>
      </c>
      <c r="T26" s="159">
        <f t="shared" si="15"/>
        <v>641.37</v>
      </c>
      <c r="U26" s="80">
        <v>1</v>
      </c>
      <c r="V26" s="81">
        <v>1</v>
      </c>
      <c r="W26" s="82">
        <v>1</v>
      </c>
      <c r="X26" s="283">
        <f t="shared" si="0"/>
        <v>220.06</v>
      </c>
      <c r="Y26" s="291">
        <f t="shared" si="0"/>
        <v>285.5</v>
      </c>
      <c r="Z26" s="292">
        <f t="shared" si="1"/>
        <v>135.81</v>
      </c>
      <c r="AA26" s="200">
        <f t="shared" si="14"/>
        <v>641.37</v>
      </c>
      <c r="AB26" s="138">
        <f t="shared" si="13"/>
        <v>641.37</v>
      </c>
      <c r="AC26" s="107">
        <v>488.18</v>
      </c>
      <c r="AD26" s="108">
        <v>1327.71</v>
      </c>
      <c r="AE26" s="109"/>
      <c r="AF26" s="110">
        <f t="shared" si="3"/>
        <v>1815.89</v>
      </c>
      <c r="AG26" s="212">
        <v>1</v>
      </c>
      <c r="AH26" s="208" t="s">
        <v>63</v>
      </c>
      <c r="AI26" s="222">
        <f t="shared" si="9"/>
        <v>1</v>
      </c>
      <c r="AJ26" s="393">
        <f t="shared" si="4"/>
        <v>0.2</v>
      </c>
      <c r="AK26" s="204">
        <v>0.2</v>
      </c>
      <c r="AL26" s="256">
        <f t="shared" si="5"/>
        <v>128.274</v>
      </c>
      <c r="AM26" s="385">
        <f t="shared" si="6"/>
        <v>128.274</v>
      </c>
      <c r="AN26" s="243">
        <f t="shared" si="7"/>
        <v>232931.47386000003</v>
      </c>
      <c r="AO26" s="387">
        <f t="shared" si="8"/>
        <v>1.8875171826392034E-2</v>
      </c>
      <c r="AP26" s="341"/>
      <c r="AQ26" s="394"/>
      <c r="AR26" s="334"/>
      <c r="AS26" s="334"/>
      <c r="AT26" s="334"/>
      <c r="AU26" s="334"/>
      <c r="AV26" s="334"/>
      <c r="AW26" s="334"/>
      <c r="AX26" s="334"/>
      <c r="AY26" s="334"/>
      <c r="AZ26" s="334" t="s">
        <v>260</v>
      </c>
      <c r="BA26" s="451" t="s">
        <v>243</v>
      </c>
      <c r="BB26" s="451">
        <f>3.56*3*2</f>
        <v>21.36</v>
      </c>
      <c r="BC26" s="354"/>
      <c r="BD26" s="354"/>
      <c r="BE26" s="431">
        <f t="shared" si="10"/>
        <v>21.36</v>
      </c>
      <c r="BI26" s="349"/>
      <c r="BJ26" s="373" t="s">
        <v>261</v>
      </c>
      <c r="BK26" s="373"/>
      <c r="BL26" s="373">
        <f>17.7+17.5</f>
        <v>35.200000000000003</v>
      </c>
      <c r="BM26" s="373"/>
      <c r="BO26" s="372"/>
      <c r="BP26" s="372"/>
      <c r="BQ26" s="372"/>
      <c r="BR26" s="372"/>
      <c r="BS26" s="372"/>
      <c r="BT26" s="372"/>
    </row>
    <row r="27" spans="1:72" ht="14.15" customHeight="1" x14ac:dyDescent="0.35">
      <c r="A27" s="514" t="s">
        <v>34</v>
      </c>
      <c r="B27" s="75">
        <v>1031</v>
      </c>
      <c r="C27" s="45"/>
      <c r="D27" s="76" t="s">
        <v>122</v>
      </c>
      <c r="E27" s="175">
        <v>576.54999999999995</v>
      </c>
      <c r="F27" s="112">
        <v>286.5</v>
      </c>
      <c r="G27" s="142">
        <v>86.210000000000008</v>
      </c>
      <c r="H27" s="143">
        <v>949.26</v>
      </c>
      <c r="I27" s="226">
        <v>3.3311737563997217</v>
      </c>
      <c r="J27" s="495">
        <v>1.998704253839833</v>
      </c>
      <c r="K27" s="202">
        <v>0.6</v>
      </c>
      <c r="L27" s="257">
        <v>1897.2899999999997</v>
      </c>
      <c r="M27" s="88">
        <v>189.72899999999998</v>
      </c>
      <c r="N27" s="244">
        <v>408951.37304999999</v>
      </c>
      <c r="O27" s="390">
        <v>3.3293942304337347E-2</v>
      </c>
      <c r="P27" s="337"/>
      <c r="Q27" s="175">
        <v>647.45000000000005</v>
      </c>
      <c r="R27" s="112">
        <v>317.07</v>
      </c>
      <c r="S27" s="142">
        <v>75.06</v>
      </c>
      <c r="T27" s="446">
        <f t="shared" si="15"/>
        <v>1039.58</v>
      </c>
      <c r="U27" s="115">
        <v>3</v>
      </c>
      <c r="V27" s="116">
        <v>5</v>
      </c>
      <c r="W27" s="117" t="s">
        <v>2</v>
      </c>
      <c r="X27" s="279">
        <f t="shared" si="0"/>
        <v>1942.3500000000001</v>
      </c>
      <c r="Y27" s="284">
        <f t="shared" si="0"/>
        <v>1585.35</v>
      </c>
      <c r="Z27" s="286"/>
      <c r="AA27" s="126">
        <f t="shared" si="14"/>
        <v>3527.7</v>
      </c>
      <c r="AB27" s="126">
        <f t="shared" si="13"/>
        <v>352.77</v>
      </c>
      <c r="AC27" s="170">
        <v>557.91999999999996</v>
      </c>
      <c r="AD27" s="90">
        <v>1387.63</v>
      </c>
      <c r="AE27" s="148">
        <v>209.9</v>
      </c>
      <c r="AF27" s="149">
        <f t="shared" si="3"/>
        <v>2155.4500000000003</v>
      </c>
      <c r="AG27" s="211">
        <v>10</v>
      </c>
      <c r="AH27" s="207" t="s">
        <v>3</v>
      </c>
      <c r="AI27" s="226">
        <f t="shared" si="9"/>
        <v>3.3933896381230881</v>
      </c>
      <c r="AJ27" s="215">
        <f t="shared" si="4"/>
        <v>1.8663643009676987</v>
      </c>
      <c r="AK27" s="202">
        <v>0.55000000000000004</v>
      </c>
      <c r="AL27" s="257">
        <f t="shared" si="5"/>
        <v>1940.2350000000001</v>
      </c>
      <c r="AM27" s="231">
        <f t="shared" si="6"/>
        <v>194.02350000000001</v>
      </c>
      <c r="AN27" s="244">
        <f t="shared" si="7"/>
        <v>418207.95307500008</v>
      </c>
      <c r="AO27" s="245">
        <f t="shared" si="8"/>
        <v>3.3888709166880304E-2</v>
      </c>
      <c r="AP27" s="337"/>
      <c r="AQ27" s="372"/>
      <c r="AZ27" s="349" t="s">
        <v>262</v>
      </c>
      <c r="BA27" s="349" t="s">
        <v>158</v>
      </c>
      <c r="BB27" s="349">
        <f>(2.2+2.9)*4</f>
        <v>20.399999999999999</v>
      </c>
      <c r="BC27" s="349">
        <f>(1.5+1.4)*4</f>
        <v>11.6</v>
      </c>
      <c r="BE27" s="431">
        <f t="shared" si="10"/>
        <v>32</v>
      </c>
      <c r="BI27" s="349"/>
      <c r="BJ27" s="392" t="s">
        <v>263</v>
      </c>
      <c r="BK27" s="372">
        <v>0.5</v>
      </c>
      <c r="BL27" s="372">
        <f>2.3+2.8</f>
        <v>5.0999999999999996</v>
      </c>
      <c r="BM27" s="372">
        <f>0.2</f>
        <v>0.2</v>
      </c>
      <c r="BO27" s="373"/>
      <c r="BP27" s="373"/>
      <c r="BQ27" s="373"/>
      <c r="BR27" s="373"/>
      <c r="BS27" s="373"/>
      <c r="BT27" s="373"/>
    </row>
    <row r="28" spans="1:72" ht="14.15" customHeight="1" x14ac:dyDescent="0.35">
      <c r="A28" s="515"/>
      <c r="B28" s="73">
        <v>1032</v>
      </c>
      <c r="C28" s="43"/>
      <c r="D28" s="91" t="s">
        <v>123</v>
      </c>
      <c r="E28" s="332">
        <v>993.88</v>
      </c>
      <c r="F28" s="155">
        <v>1192.6559999999997</v>
      </c>
      <c r="G28" s="156">
        <v>180.2</v>
      </c>
      <c r="H28" s="95">
        <v>2366.7359999999994</v>
      </c>
      <c r="I28" s="221">
        <v>12</v>
      </c>
      <c r="J28" s="391">
        <v>12</v>
      </c>
      <c r="K28" s="203">
        <v>1</v>
      </c>
      <c r="L28" s="253">
        <v>28400.831999999995</v>
      </c>
      <c r="M28" s="104">
        <v>2366.7359999999994</v>
      </c>
      <c r="N28" s="233">
        <v>2076408.4948799997</v>
      </c>
      <c r="O28" s="384">
        <v>0.16904656441957544</v>
      </c>
      <c r="P28" s="339">
        <v>2935592.7881983998</v>
      </c>
      <c r="Q28" s="332">
        <v>1731.24</v>
      </c>
      <c r="R28" s="155">
        <v>673.7</v>
      </c>
      <c r="S28" s="156">
        <v>164.02</v>
      </c>
      <c r="T28" s="95">
        <f t="shared" si="15"/>
        <v>2568.96</v>
      </c>
      <c r="U28" s="96">
        <v>12</v>
      </c>
      <c r="V28" s="97">
        <v>12</v>
      </c>
      <c r="W28" s="98">
        <v>12</v>
      </c>
      <c r="X28" s="342">
        <f t="shared" si="0"/>
        <v>20774.88</v>
      </c>
      <c r="Y28" s="293">
        <f t="shared" si="0"/>
        <v>8084.4000000000005</v>
      </c>
      <c r="Z28" s="301">
        <f t="shared" si="1"/>
        <v>1968.2400000000002</v>
      </c>
      <c r="AA28" s="101">
        <f t="shared" si="14"/>
        <v>30827.520000000004</v>
      </c>
      <c r="AB28" s="85">
        <f t="shared" si="13"/>
        <v>2568.9600000000005</v>
      </c>
      <c r="AC28" s="102">
        <v>607.47</v>
      </c>
      <c r="AD28" s="103">
        <v>269.86</v>
      </c>
      <c r="AE28" s="104"/>
      <c r="AF28" s="105">
        <f t="shared" si="3"/>
        <v>877.33</v>
      </c>
      <c r="AG28" s="157">
        <v>12</v>
      </c>
      <c r="AH28" s="98" t="s">
        <v>61</v>
      </c>
      <c r="AI28" s="221">
        <f t="shared" si="9"/>
        <v>12.000000000000002</v>
      </c>
      <c r="AJ28" s="216">
        <f t="shared" si="4"/>
        <v>12.000000000000002</v>
      </c>
      <c r="AK28" s="203">
        <v>1</v>
      </c>
      <c r="AL28" s="253">
        <f t="shared" si="5"/>
        <v>30827.520000000004</v>
      </c>
      <c r="AM28" s="228">
        <f t="shared" si="6"/>
        <v>2568.9600000000005</v>
      </c>
      <c r="AN28" s="233">
        <f t="shared" si="7"/>
        <v>2253825.6768000005</v>
      </c>
      <c r="AO28" s="234">
        <f t="shared" si="8"/>
        <v>0.18263460154767736</v>
      </c>
      <c r="AP28" s="339">
        <f>SUM(AN27:AN30)</f>
        <v>3023605.0034675007</v>
      </c>
      <c r="AQ28" s="373"/>
      <c r="BA28" s="349" t="s">
        <v>159</v>
      </c>
      <c r="BB28" s="423">
        <f>(5.8+5.8)*4</f>
        <v>46.4</v>
      </c>
      <c r="BE28" s="431">
        <f t="shared" si="10"/>
        <v>46.4</v>
      </c>
      <c r="BJ28" s="372" t="s">
        <v>163</v>
      </c>
      <c r="BK28" s="372"/>
      <c r="BL28" s="372">
        <v>0.9</v>
      </c>
      <c r="BM28" s="372"/>
      <c r="BO28" s="374"/>
      <c r="BP28" s="374"/>
      <c r="BQ28" s="374"/>
      <c r="BR28" s="374"/>
      <c r="BS28" s="374"/>
      <c r="BT28" s="374"/>
    </row>
    <row r="29" spans="1:72" ht="14.15" customHeight="1" x14ac:dyDescent="0.35">
      <c r="A29" s="515"/>
      <c r="B29" s="73">
        <v>4033</v>
      </c>
      <c r="C29" s="43"/>
      <c r="D29" s="91" t="s">
        <v>124</v>
      </c>
      <c r="E29" s="332">
        <v>993.88</v>
      </c>
      <c r="F29" s="155">
        <v>1192.6559999999997</v>
      </c>
      <c r="G29" s="156">
        <v>180.2</v>
      </c>
      <c r="H29" s="95">
        <v>2366.7359999999994</v>
      </c>
      <c r="I29" s="221">
        <v>0.50392439207414774</v>
      </c>
      <c r="J29" s="391">
        <v>5.0392439207414777E-2</v>
      </c>
      <c r="K29" s="203">
        <v>0.1</v>
      </c>
      <c r="L29" s="253">
        <v>119.26559999999998</v>
      </c>
      <c r="M29" s="104">
        <v>39.755199999999995</v>
      </c>
      <c r="N29" s="233">
        <v>96132.446671999976</v>
      </c>
      <c r="O29" s="384">
        <v>7.8264271597910315E-3</v>
      </c>
      <c r="P29" s="340">
        <v>0.23899530203400626</v>
      </c>
      <c r="Q29" s="332">
        <v>1731.24</v>
      </c>
      <c r="R29" s="155">
        <v>673.7</v>
      </c>
      <c r="S29" s="156">
        <v>164.02</v>
      </c>
      <c r="T29" s="95">
        <f t="shared" si="15"/>
        <v>2568.96</v>
      </c>
      <c r="U29" s="80" t="s">
        <v>2</v>
      </c>
      <c r="V29" s="81">
        <v>1</v>
      </c>
      <c r="W29" s="82" t="s">
        <v>2</v>
      </c>
      <c r="X29" s="294"/>
      <c r="Y29" s="289">
        <f t="shared" si="0"/>
        <v>673.7</v>
      </c>
      <c r="Z29" s="301"/>
      <c r="AA29" s="101">
        <f t="shared" si="14"/>
        <v>673.7</v>
      </c>
      <c r="AB29" s="101">
        <f t="shared" si="13"/>
        <v>224.56666666666669</v>
      </c>
      <c r="AC29" s="102">
        <v>765.31</v>
      </c>
      <c r="AD29" s="103">
        <v>1652.8</v>
      </c>
      <c r="AE29" s="104"/>
      <c r="AF29" s="189">
        <f t="shared" si="3"/>
        <v>2418.1099999999997</v>
      </c>
      <c r="AG29" s="212">
        <v>3</v>
      </c>
      <c r="AH29" s="208" t="s">
        <v>61</v>
      </c>
      <c r="AI29" s="221">
        <f t="shared" si="9"/>
        <v>0.26224620079720978</v>
      </c>
      <c r="AJ29" s="391">
        <f t="shared" si="4"/>
        <v>4.7204316143497758E-2</v>
      </c>
      <c r="AK29" s="203">
        <v>0.18</v>
      </c>
      <c r="AL29" s="253">
        <f t="shared" si="5"/>
        <v>121.26600000000001</v>
      </c>
      <c r="AM29" s="104">
        <f t="shared" si="6"/>
        <v>40.422000000000004</v>
      </c>
      <c r="AN29" s="233">
        <f t="shared" si="7"/>
        <v>97744.842420000001</v>
      </c>
      <c r="AO29" s="384">
        <f t="shared" si="8"/>
        <v>7.920572798719305E-3</v>
      </c>
      <c r="AP29" s="340">
        <f>SUM(AO27:AO30)</f>
        <v>0.24501224772178903</v>
      </c>
      <c r="AQ29" s="392"/>
      <c r="AR29" s="334"/>
      <c r="AS29" s="444"/>
      <c r="AT29" s="334"/>
      <c r="AU29" s="445"/>
      <c r="AV29" s="334"/>
      <c r="AW29" s="334"/>
      <c r="AX29" s="334"/>
      <c r="AY29" s="334"/>
      <c r="AZ29" s="334"/>
      <c r="BA29" s="349" t="s">
        <v>160</v>
      </c>
      <c r="BB29" s="349">
        <f>(2+1.8)*4</f>
        <v>15.2</v>
      </c>
      <c r="BC29" s="349">
        <f>0.2*4</f>
        <v>0.8</v>
      </c>
      <c r="BD29" s="334"/>
      <c r="BE29" s="431">
        <f t="shared" si="10"/>
        <v>16</v>
      </c>
      <c r="BI29" s="349"/>
      <c r="BJ29" s="373" t="s">
        <v>253</v>
      </c>
      <c r="BK29" s="373"/>
      <c r="BL29" s="373"/>
      <c r="BM29" s="373">
        <v>5</v>
      </c>
      <c r="BO29" s="394"/>
      <c r="BP29" s="394" t="s">
        <v>221</v>
      </c>
      <c r="BQ29" s="394" t="s">
        <v>183</v>
      </c>
      <c r="BR29" s="394" t="s">
        <v>228</v>
      </c>
      <c r="BS29" s="394" t="s">
        <v>220</v>
      </c>
      <c r="BT29" s="394"/>
    </row>
    <row r="30" spans="1:72" ht="14.15" customHeight="1" thickBot="1" x14ac:dyDescent="0.4">
      <c r="A30" s="515"/>
      <c r="B30" s="74">
        <v>4034</v>
      </c>
      <c r="C30" s="44"/>
      <c r="D30" s="106" t="s">
        <v>125</v>
      </c>
      <c r="E30" s="332">
        <v>993.88</v>
      </c>
      <c r="F30" s="155">
        <v>1192.6559999999997</v>
      </c>
      <c r="G30" s="156">
        <v>180.2</v>
      </c>
      <c r="H30" s="95">
        <v>2366.7359999999994</v>
      </c>
      <c r="I30" s="225">
        <v>0.17272412301160756</v>
      </c>
      <c r="J30" s="393">
        <v>2.5908618451741132E-2</v>
      </c>
      <c r="K30" s="204">
        <v>0.15</v>
      </c>
      <c r="L30" s="256">
        <v>61.318859999999987</v>
      </c>
      <c r="M30" s="386">
        <v>40.879239999999989</v>
      </c>
      <c r="N30" s="241">
        <v>354100.47359639994</v>
      </c>
      <c r="O30" s="387">
        <v>2.8828368150302434E-2</v>
      </c>
      <c r="P30" s="341"/>
      <c r="Q30" s="332">
        <v>1731.24</v>
      </c>
      <c r="R30" s="155">
        <v>673.7</v>
      </c>
      <c r="S30" s="156">
        <v>164.02</v>
      </c>
      <c r="T30" s="95">
        <f t="shared" si="15"/>
        <v>2568.96</v>
      </c>
      <c r="U30" s="96">
        <v>0.05</v>
      </c>
      <c r="V30" s="97">
        <v>0.15</v>
      </c>
      <c r="W30" s="98">
        <v>1</v>
      </c>
      <c r="X30" s="283">
        <f t="shared" si="0"/>
        <v>86.562000000000012</v>
      </c>
      <c r="Y30" s="299">
        <f t="shared" si="0"/>
        <v>101.05500000000001</v>
      </c>
      <c r="Z30" s="302">
        <f t="shared" si="1"/>
        <v>164.02</v>
      </c>
      <c r="AA30" s="138">
        <f>SUM(X30:Z30)</f>
        <v>351.63700000000006</v>
      </c>
      <c r="AB30" s="85">
        <f t="shared" si="13"/>
        <v>234.4246666666667</v>
      </c>
      <c r="AC30" s="107">
        <v>1224.1099999999999</v>
      </c>
      <c r="AD30" s="108">
        <v>4904.2</v>
      </c>
      <c r="AE30" s="109">
        <v>2533.8000000000002</v>
      </c>
      <c r="AF30" s="110">
        <f t="shared" si="3"/>
        <v>8662.11</v>
      </c>
      <c r="AG30" s="157">
        <v>1.5</v>
      </c>
      <c r="AH30" s="98" t="s">
        <v>61</v>
      </c>
      <c r="AI30" s="225">
        <f t="shared" si="9"/>
        <v>0.13687912618335826</v>
      </c>
      <c r="AJ30" s="217">
        <f t="shared" si="4"/>
        <v>1.7109890772919783E-2</v>
      </c>
      <c r="AK30" s="204">
        <v>0.125</v>
      </c>
      <c r="AL30" s="256">
        <f t="shared" si="5"/>
        <v>43.954625000000007</v>
      </c>
      <c r="AM30" s="229">
        <f t="shared" si="6"/>
        <v>29.303083333333337</v>
      </c>
      <c r="AN30" s="241">
        <f t="shared" si="7"/>
        <v>253826.53117250005</v>
      </c>
      <c r="AO30" s="242">
        <f t="shared" si="8"/>
        <v>2.0568364208512081E-2</v>
      </c>
      <c r="AP30" s="341"/>
      <c r="AQ30" s="408">
        <f>(AL30*1000)/4</f>
        <v>10988.656250000002</v>
      </c>
      <c r="AS30" s="351"/>
      <c r="AU30" s="445"/>
      <c r="BA30" s="349" t="s">
        <v>161</v>
      </c>
      <c r="BB30" s="349">
        <f>(4.9+4.7)*4</f>
        <v>38.400000000000006</v>
      </c>
      <c r="BC30" s="349">
        <f>0.2*4</f>
        <v>0.8</v>
      </c>
      <c r="BE30" s="431">
        <f t="shared" si="10"/>
        <v>39.200000000000003</v>
      </c>
      <c r="BI30" s="349"/>
      <c r="BJ30" s="372" t="s">
        <v>264</v>
      </c>
      <c r="BK30" s="372">
        <v>2.5</v>
      </c>
      <c r="BL30" s="372">
        <f>5.1+17</f>
        <v>22.1</v>
      </c>
      <c r="BM30" s="372"/>
      <c r="BO30" s="372"/>
      <c r="BP30" s="373" t="s">
        <v>261</v>
      </c>
      <c r="BQ30" s="373">
        <v>2.2000000000000002</v>
      </c>
      <c r="BR30" s="373"/>
      <c r="BS30" s="373"/>
      <c r="BT30" s="372"/>
    </row>
    <row r="31" spans="1:72" ht="14.15" customHeight="1" thickBot="1" x14ac:dyDescent="0.4">
      <c r="A31" s="514" t="s">
        <v>39</v>
      </c>
      <c r="B31" s="140">
        <v>1051</v>
      </c>
      <c r="C31" s="42"/>
      <c r="D31" s="76" t="s">
        <v>126</v>
      </c>
      <c r="E31" s="111">
        <v>306</v>
      </c>
      <c r="F31" s="112">
        <v>449</v>
      </c>
      <c r="G31" s="113">
        <v>356</v>
      </c>
      <c r="H31" s="114">
        <v>1111</v>
      </c>
      <c r="I31" s="224">
        <v>2</v>
      </c>
      <c r="J31" s="495">
        <v>2</v>
      </c>
      <c r="K31" s="205">
        <v>1</v>
      </c>
      <c r="L31" s="257">
        <v>2222</v>
      </c>
      <c r="M31" s="496">
        <v>444.4</v>
      </c>
      <c r="N31" s="246">
        <v>473677.07200000004</v>
      </c>
      <c r="O31" s="390">
        <v>3.8563453127536694E-2</v>
      </c>
      <c r="P31" s="339">
        <v>564471.57200000004</v>
      </c>
      <c r="Q31" s="111">
        <v>376</v>
      </c>
      <c r="R31" s="112">
        <v>561</v>
      </c>
      <c r="S31" s="113">
        <v>35</v>
      </c>
      <c r="T31" s="114">
        <f t="shared" ref="T31:T40" si="16">SUM(Q31:S31)</f>
        <v>972</v>
      </c>
      <c r="U31" s="115">
        <v>2</v>
      </c>
      <c r="V31" s="116">
        <v>2</v>
      </c>
      <c r="W31" s="117">
        <v>2</v>
      </c>
      <c r="X31" s="279">
        <f t="shared" si="0"/>
        <v>752</v>
      </c>
      <c r="Y31" s="280">
        <f t="shared" si="0"/>
        <v>1122</v>
      </c>
      <c r="Z31" s="292">
        <f t="shared" si="1"/>
        <v>70</v>
      </c>
      <c r="AA31" s="126">
        <f t="shared" si="14"/>
        <v>1944</v>
      </c>
      <c r="AB31" s="126">
        <f t="shared" si="13"/>
        <v>388.8</v>
      </c>
      <c r="AC31" s="86">
        <v>559.75</v>
      </c>
      <c r="AD31" s="87">
        <v>506.13</v>
      </c>
      <c r="AE31" s="88"/>
      <c r="AF31" s="121">
        <f>SUM(AC31:AE31)</f>
        <v>1065.8800000000001</v>
      </c>
      <c r="AG31" s="211">
        <v>5</v>
      </c>
      <c r="AH31" s="207" t="s">
        <v>64</v>
      </c>
      <c r="AI31" s="224">
        <f t="shared" si="9"/>
        <v>2</v>
      </c>
      <c r="AJ31" s="215">
        <f t="shared" si="4"/>
        <v>2</v>
      </c>
      <c r="AK31" s="205">
        <v>1</v>
      </c>
      <c r="AL31" s="257">
        <f t="shared" si="5"/>
        <v>1944</v>
      </c>
      <c r="AM31" s="230">
        <f t="shared" si="6"/>
        <v>388.8</v>
      </c>
      <c r="AN31" s="246">
        <f t="shared" si="7"/>
        <v>414414.14400000003</v>
      </c>
      <c r="AO31" s="245">
        <f t="shared" si="8"/>
        <v>3.3581284854568648E-2</v>
      </c>
      <c r="AP31" s="339">
        <f>SUM(AN31:AN32)</f>
        <v>502675.47745000001</v>
      </c>
      <c r="AQ31" s="373"/>
      <c r="AS31" s="351"/>
      <c r="AU31" s="445"/>
      <c r="AZ31"/>
      <c r="BA31" s="349" t="s">
        <v>162</v>
      </c>
      <c r="BB31" s="334">
        <f>(14.4+14.4)*4</f>
        <v>115.2</v>
      </c>
      <c r="BC31" s="334"/>
      <c r="BE31" s="431">
        <f t="shared" si="10"/>
        <v>115.2</v>
      </c>
      <c r="BK31" s="417">
        <f>SUM(BK27:BK30)</f>
        <v>3</v>
      </c>
      <c r="BL31" s="417">
        <f>SUM(BL27:BL30)</f>
        <v>28.1</v>
      </c>
      <c r="BM31" s="417">
        <f>SUM(BM27:BM30)</f>
        <v>5.2</v>
      </c>
      <c r="BO31" s="371"/>
      <c r="BP31" s="392" t="s">
        <v>263</v>
      </c>
      <c r="BQ31" s="372">
        <v>0.3</v>
      </c>
      <c r="BR31" s="372">
        <v>0.9</v>
      </c>
      <c r="BS31" s="392"/>
      <c r="BT31" s="373"/>
    </row>
    <row r="32" spans="1:72" ht="14.15" customHeight="1" x14ac:dyDescent="0.35">
      <c r="A32" s="515"/>
      <c r="B32" s="74">
        <v>6052</v>
      </c>
      <c r="C32" s="44"/>
      <c r="D32" s="106" t="s">
        <v>127</v>
      </c>
      <c r="E32" s="127">
        <v>306</v>
      </c>
      <c r="F32" s="93">
        <v>449</v>
      </c>
      <c r="G32" s="128">
        <v>356</v>
      </c>
      <c r="H32" s="178">
        <v>1111</v>
      </c>
      <c r="I32" s="225">
        <v>9.9999999999999992E-2</v>
      </c>
      <c r="J32" s="393">
        <v>0.09</v>
      </c>
      <c r="K32" s="204">
        <v>0.9</v>
      </c>
      <c r="L32" s="254">
        <v>100</v>
      </c>
      <c r="M32" s="386">
        <v>50</v>
      </c>
      <c r="N32" s="241">
        <v>90794.5</v>
      </c>
      <c r="O32" s="387">
        <v>7.3918491140059443E-3</v>
      </c>
      <c r="P32" s="340">
        <v>4.5955302241542637E-2</v>
      </c>
      <c r="Q32" s="127">
        <v>376</v>
      </c>
      <c r="R32" s="93">
        <v>561</v>
      </c>
      <c r="S32" s="128">
        <v>35</v>
      </c>
      <c r="T32" s="178">
        <f t="shared" si="16"/>
        <v>972</v>
      </c>
      <c r="U32" s="96">
        <v>0.1</v>
      </c>
      <c r="V32" s="97">
        <v>0.1</v>
      </c>
      <c r="W32" s="98">
        <v>0.1</v>
      </c>
      <c r="X32" s="256">
        <f>Q32*U32</f>
        <v>37.6</v>
      </c>
      <c r="Y32" s="285">
        <f t="shared" si="0"/>
        <v>56.1</v>
      </c>
      <c r="Z32" s="292">
        <f t="shared" si="1"/>
        <v>3.5</v>
      </c>
      <c r="AA32" s="138">
        <f>SUM(X32:Z32)</f>
        <v>97.2</v>
      </c>
      <c r="AB32" s="85">
        <f t="shared" si="13"/>
        <v>48.6</v>
      </c>
      <c r="AC32" s="107">
        <v>488.18</v>
      </c>
      <c r="AD32" s="108">
        <v>1327.71</v>
      </c>
      <c r="AE32" s="109"/>
      <c r="AF32" s="110">
        <f>SUM(AC32:AE32)</f>
        <v>1815.89</v>
      </c>
      <c r="AG32" s="157">
        <v>2</v>
      </c>
      <c r="AH32" s="98" t="s">
        <v>64</v>
      </c>
      <c r="AI32" s="225">
        <f t="shared" si="9"/>
        <v>0.1</v>
      </c>
      <c r="AJ32" s="393">
        <f t="shared" si="4"/>
        <v>0.1</v>
      </c>
      <c r="AK32" s="204">
        <v>1</v>
      </c>
      <c r="AL32" s="254">
        <f>(AK32*AA32)+0.01</f>
        <v>97.210000000000008</v>
      </c>
      <c r="AM32" s="386">
        <f t="shared" si="6"/>
        <v>48.605000000000004</v>
      </c>
      <c r="AN32" s="241">
        <f t="shared" si="7"/>
        <v>88261.333450000006</v>
      </c>
      <c r="AO32" s="387">
        <f t="shared" si="8"/>
        <v>7.1520941626657371E-3</v>
      </c>
      <c r="AP32" s="340">
        <f>SUM(AO31:AO32)</f>
        <v>4.0733379017234388E-2</v>
      </c>
      <c r="AQ32" s="392"/>
      <c r="AR32" s="334"/>
      <c r="AS32" s="334"/>
      <c r="AT32" s="334"/>
      <c r="AU32" s="334"/>
      <c r="AV32" s="334"/>
      <c r="AW32" s="334"/>
      <c r="AX32" s="334"/>
      <c r="AY32" s="334"/>
      <c r="AZ32"/>
      <c r="BA32" s="349" t="s">
        <v>254</v>
      </c>
      <c r="BB32" s="349">
        <f>(14.4+14.4)*4</f>
        <v>115.2</v>
      </c>
      <c r="BD32" s="334"/>
      <c r="BE32" s="431">
        <f t="shared" si="10"/>
        <v>115.2</v>
      </c>
      <c r="BI32" s="349"/>
      <c r="BJ32" s="372" t="s">
        <v>265</v>
      </c>
      <c r="BK32" s="372">
        <v>217.06</v>
      </c>
      <c r="BL32" s="372">
        <v>276.8</v>
      </c>
      <c r="BM32" s="372">
        <v>130.61000000000001</v>
      </c>
      <c r="BO32" s="427"/>
      <c r="BP32" s="372" t="s">
        <v>163</v>
      </c>
      <c r="BQ32" s="372">
        <v>0.4</v>
      </c>
      <c r="BR32" s="372"/>
      <c r="BS32" s="372"/>
      <c r="BT32" s="392"/>
    </row>
    <row r="33" spans="1:72" ht="14.15" customHeight="1" thickBot="1" x14ac:dyDescent="0.4">
      <c r="A33" s="514" t="s">
        <v>42</v>
      </c>
      <c r="B33" s="140">
        <v>1061</v>
      </c>
      <c r="C33" s="42"/>
      <c r="D33" s="141"/>
      <c r="E33" s="111">
        <v>37</v>
      </c>
      <c r="F33" s="112">
        <v>27</v>
      </c>
      <c r="G33" s="113">
        <v>9</v>
      </c>
      <c r="H33" s="114">
        <v>73</v>
      </c>
      <c r="I33" s="224">
        <v>2</v>
      </c>
      <c r="J33" s="277">
        <v>2</v>
      </c>
      <c r="K33" s="205">
        <v>1</v>
      </c>
      <c r="L33" s="329">
        <v>146</v>
      </c>
      <c r="M33" s="230">
        <v>48.666666666666664</v>
      </c>
      <c r="N33" s="246">
        <v>61641.200000000004</v>
      </c>
      <c r="O33" s="245">
        <v>5.0183926295784796E-3</v>
      </c>
      <c r="P33" s="337"/>
      <c r="Q33" s="111">
        <v>53</v>
      </c>
      <c r="R33" s="112">
        <v>18</v>
      </c>
      <c r="S33" s="113"/>
      <c r="T33" s="114">
        <f t="shared" si="16"/>
        <v>71</v>
      </c>
      <c r="U33" s="115">
        <v>2</v>
      </c>
      <c r="V33" s="116">
        <v>2</v>
      </c>
      <c r="W33" s="117">
        <v>2</v>
      </c>
      <c r="X33" s="255">
        <f t="shared" si="0"/>
        <v>106</v>
      </c>
      <c r="Y33" s="280">
        <f t="shared" si="0"/>
        <v>36</v>
      </c>
      <c r="Z33" s="281">
        <f t="shared" si="1"/>
        <v>0</v>
      </c>
      <c r="AA33" s="282">
        <f t="shared" si="14"/>
        <v>142</v>
      </c>
      <c r="AB33" s="120">
        <f t="shared" si="13"/>
        <v>47.333333333333336</v>
      </c>
      <c r="AC33" s="86">
        <v>559.75</v>
      </c>
      <c r="AD33" s="87">
        <v>491.66</v>
      </c>
      <c r="AE33" s="88">
        <v>215.19</v>
      </c>
      <c r="AF33" s="149">
        <f t="shared" si="3"/>
        <v>1266.6000000000001</v>
      </c>
      <c r="AG33" s="211">
        <v>3</v>
      </c>
      <c r="AH33" s="207" t="s">
        <v>64</v>
      </c>
      <c r="AI33" s="224">
        <f t="shared" si="9"/>
        <v>2</v>
      </c>
      <c r="AJ33" s="277">
        <f t="shared" si="4"/>
        <v>2</v>
      </c>
      <c r="AK33" s="205">
        <v>1</v>
      </c>
      <c r="AL33" s="329">
        <f t="shared" si="5"/>
        <v>142</v>
      </c>
      <c r="AM33" s="230">
        <f t="shared" si="6"/>
        <v>47.333333333333336</v>
      </c>
      <c r="AN33" s="246">
        <f>SUM(AF33*AM33)</f>
        <v>59952.400000000009</v>
      </c>
      <c r="AO33" s="245">
        <f t="shared" si="8"/>
        <v>4.8581320190534847E-3</v>
      </c>
      <c r="AP33" s="337"/>
      <c r="AQ33" s="372"/>
      <c r="AZ33"/>
      <c r="BA33" s="349" t="s">
        <v>257</v>
      </c>
      <c r="BB33" s="349">
        <f>(2.1+2.1)*4</f>
        <v>16.8</v>
      </c>
      <c r="BE33" s="431">
        <f t="shared" si="10"/>
        <v>16.8</v>
      </c>
      <c r="BI33" s="349"/>
      <c r="BJ33" s="373" t="s">
        <v>266</v>
      </c>
      <c r="BK33" s="372">
        <f>BK32</f>
        <v>217.06</v>
      </c>
      <c r="BL33" s="373">
        <f>BL32-BL26</f>
        <v>241.60000000000002</v>
      </c>
      <c r="BM33" s="372">
        <f>BM32</f>
        <v>130.61000000000001</v>
      </c>
      <c r="BO33" s="372"/>
      <c r="BP33" s="372" t="s">
        <v>264</v>
      </c>
      <c r="BQ33" s="372">
        <v>0.1</v>
      </c>
      <c r="BR33" s="372"/>
      <c r="BS33" s="372">
        <v>0.2</v>
      </c>
      <c r="BT33" s="372"/>
    </row>
    <row r="34" spans="1:72" ht="14.15" customHeight="1" thickBot="1" x14ac:dyDescent="0.4">
      <c r="A34" s="515"/>
      <c r="B34" s="73">
        <v>6062</v>
      </c>
      <c r="C34" s="43"/>
      <c r="D34" s="91" t="s">
        <v>129</v>
      </c>
      <c r="E34" s="198">
        <v>0</v>
      </c>
      <c r="F34" s="265">
        <v>1</v>
      </c>
      <c r="G34" s="128">
        <v>8</v>
      </c>
      <c r="H34" s="178">
        <v>9</v>
      </c>
      <c r="I34" s="221">
        <v>0.94444444444444442</v>
      </c>
      <c r="J34" s="227"/>
      <c r="K34" s="205"/>
      <c r="L34" s="294">
        <v>0</v>
      </c>
      <c r="M34" s="276">
        <v>0</v>
      </c>
      <c r="N34" s="246">
        <v>0</v>
      </c>
      <c r="O34" s="234">
        <v>0</v>
      </c>
      <c r="P34" s="339">
        <v>71752.98000000001</v>
      </c>
      <c r="Q34" s="198">
        <v>3</v>
      </c>
      <c r="R34" s="265">
        <v>3</v>
      </c>
      <c r="S34" s="128"/>
      <c r="T34" s="178">
        <f t="shared" si="16"/>
        <v>6</v>
      </c>
      <c r="U34" s="96">
        <v>0.2</v>
      </c>
      <c r="V34" s="97">
        <v>0.5</v>
      </c>
      <c r="W34" s="98">
        <v>1</v>
      </c>
      <c r="X34" s="283">
        <f t="shared" si="0"/>
        <v>0.60000000000000009</v>
      </c>
      <c r="Y34" s="293">
        <f t="shared" si="0"/>
        <v>1.5</v>
      </c>
      <c r="Z34" s="288">
        <f t="shared" si="1"/>
        <v>0</v>
      </c>
      <c r="AA34" s="101">
        <f t="shared" si="14"/>
        <v>2.1</v>
      </c>
      <c r="AB34" s="200">
        <f t="shared" si="13"/>
        <v>1.05</v>
      </c>
      <c r="AC34" s="102">
        <v>570.73</v>
      </c>
      <c r="AD34" s="103">
        <v>638.65</v>
      </c>
      <c r="AE34" s="104">
        <v>3422.31</v>
      </c>
      <c r="AF34" s="189">
        <f t="shared" si="3"/>
        <v>4631.6900000000005</v>
      </c>
      <c r="AG34" s="157">
        <v>2</v>
      </c>
      <c r="AH34" s="98" t="s">
        <v>64</v>
      </c>
      <c r="AI34" s="221">
        <f t="shared" si="9"/>
        <v>0.35000000000000003</v>
      </c>
      <c r="AJ34" s="227"/>
      <c r="AK34" s="205"/>
      <c r="AL34" s="294"/>
      <c r="AM34" s="276"/>
      <c r="AN34" s="246"/>
      <c r="AO34" s="234"/>
      <c r="AP34" s="339">
        <f>SUM(AN33:AN35)</f>
        <v>69775.272000000012</v>
      </c>
      <c r="AQ34" s="373"/>
      <c r="AZ34"/>
      <c r="BA34" s="451" t="s">
        <v>259</v>
      </c>
      <c r="BB34" s="451">
        <f>4.2*4</f>
        <v>16.8</v>
      </c>
      <c r="BC34" s="451"/>
      <c r="BE34" s="431">
        <f t="shared" si="10"/>
        <v>16.8</v>
      </c>
      <c r="BI34" s="349"/>
      <c r="BJ34" s="374" t="s">
        <v>267</v>
      </c>
      <c r="BK34" s="374"/>
      <c r="BL34" s="414">
        <f>7.5+8.3</f>
        <v>15.8</v>
      </c>
      <c r="BM34" s="374"/>
      <c r="BO34" s="371"/>
      <c r="BP34" s="415"/>
      <c r="BQ34" s="416">
        <f>SUM(BQ31:BQ33)</f>
        <v>0.79999999999999993</v>
      </c>
      <c r="BR34" s="416">
        <f>SUM(BR31:BR33)</f>
        <v>0.9</v>
      </c>
      <c r="BS34" s="416">
        <f>SUM(BS31:BS33)</f>
        <v>0.2</v>
      </c>
      <c r="BT34" s="373"/>
    </row>
    <row r="35" spans="1:72" ht="14.15" customHeight="1" x14ac:dyDescent="0.35">
      <c r="A35" s="516"/>
      <c r="B35" s="74">
        <v>6063</v>
      </c>
      <c r="C35" s="44"/>
      <c r="D35" s="106" t="s">
        <v>130</v>
      </c>
      <c r="E35" s="132">
        <v>37</v>
      </c>
      <c r="F35" s="133">
        <v>27</v>
      </c>
      <c r="G35" s="124">
        <v>9</v>
      </c>
      <c r="H35" s="125">
        <v>73</v>
      </c>
      <c r="I35" s="222">
        <v>0.1</v>
      </c>
      <c r="J35" s="217">
        <v>0.1</v>
      </c>
      <c r="K35" s="204">
        <v>1</v>
      </c>
      <c r="L35" s="254">
        <v>7.0000000000000009</v>
      </c>
      <c r="M35" s="229">
        <v>4.666666666666667</v>
      </c>
      <c r="N35" s="241">
        <v>10111.780000000001</v>
      </c>
      <c r="O35" s="248">
        <v>8.2322995373093123E-4</v>
      </c>
      <c r="P35" s="340">
        <v>5.8416225833094106E-3</v>
      </c>
      <c r="Q35" s="132">
        <v>53</v>
      </c>
      <c r="R35" s="133">
        <v>18</v>
      </c>
      <c r="S35" s="124"/>
      <c r="T35" s="125">
        <f t="shared" si="16"/>
        <v>71</v>
      </c>
      <c r="U35" s="80">
        <v>0.1</v>
      </c>
      <c r="V35" s="81">
        <v>0.1</v>
      </c>
      <c r="W35" s="82">
        <v>0.1</v>
      </c>
      <c r="X35" s="256">
        <f t="shared" si="0"/>
        <v>5.3000000000000007</v>
      </c>
      <c r="Y35" s="291">
        <f t="shared" si="0"/>
        <v>1.8</v>
      </c>
      <c r="Z35" s="287">
        <f t="shared" si="1"/>
        <v>0</v>
      </c>
      <c r="AA35" s="200">
        <f t="shared" si="14"/>
        <v>7.1000000000000005</v>
      </c>
      <c r="AB35" s="138">
        <f t="shared" si="13"/>
        <v>4.7333333333333334</v>
      </c>
      <c r="AC35" s="107">
        <v>627.66</v>
      </c>
      <c r="AD35" s="108">
        <v>1539.15</v>
      </c>
      <c r="AE35" s="109"/>
      <c r="AF35" s="110">
        <f t="shared" si="3"/>
        <v>2166.81</v>
      </c>
      <c r="AG35" s="212">
        <v>1.5</v>
      </c>
      <c r="AH35" s="208" t="s">
        <v>64</v>
      </c>
      <c r="AI35" s="222">
        <f t="shared" si="9"/>
        <v>0.1</v>
      </c>
      <c r="AJ35" s="217">
        <f t="shared" si="4"/>
        <v>0.1</v>
      </c>
      <c r="AK35" s="204">
        <v>1</v>
      </c>
      <c r="AL35" s="254">
        <f>(AK35*AA35)-0.3</f>
        <v>6.8000000000000007</v>
      </c>
      <c r="AM35" s="229">
        <f t="shared" si="6"/>
        <v>4.5333333333333341</v>
      </c>
      <c r="AN35" s="241">
        <f t="shared" si="7"/>
        <v>9822.8720000000012</v>
      </c>
      <c r="AO35" s="248">
        <f t="shared" si="8"/>
        <v>7.9597829248310222E-4</v>
      </c>
      <c r="AP35" s="340">
        <f>SUM(AO33:AO35)</f>
        <v>5.6541103115365868E-3</v>
      </c>
      <c r="AQ35" s="374"/>
      <c r="AR35" s="349" t="s">
        <v>268</v>
      </c>
      <c r="AZ35"/>
      <c r="BA35" s="451" t="s">
        <v>269</v>
      </c>
      <c r="BB35" s="451">
        <f>SUM(BB25:BB34)</f>
        <v>427.12</v>
      </c>
      <c r="BC35" s="451">
        <f t="shared" ref="BC35:BD35" si="17">SUM(BC25:BC34)</f>
        <v>13.200000000000001</v>
      </c>
      <c r="BD35" s="451">
        <f t="shared" si="17"/>
        <v>0</v>
      </c>
      <c r="BE35" s="431">
        <f t="shared" si="10"/>
        <v>440.32</v>
      </c>
      <c r="BI35" s="349"/>
      <c r="BJ35" s="372" t="s">
        <v>270</v>
      </c>
      <c r="BK35" s="408">
        <f>BK33+BK31</f>
        <v>220.06</v>
      </c>
      <c r="BL35" s="408">
        <f>BL33+BL31+BL34</f>
        <v>285.50000000000006</v>
      </c>
      <c r="BM35" s="408">
        <f>BM33+BM31</f>
        <v>135.81</v>
      </c>
      <c r="BO35" s="427"/>
      <c r="BP35" s="392"/>
      <c r="BQ35" s="392"/>
      <c r="BR35" s="392"/>
      <c r="BS35" s="392"/>
      <c r="BT35" s="392"/>
    </row>
    <row r="36" spans="1:72" ht="14.15" customHeight="1" x14ac:dyDescent="0.35">
      <c r="A36" s="517" t="s">
        <v>46</v>
      </c>
      <c r="B36" s="75">
        <v>1071</v>
      </c>
      <c r="C36" s="45"/>
      <c r="D36" s="76" t="s">
        <v>131</v>
      </c>
      <c r="E36" s="489">
        <v>454.17589999999996</v>
      </c>
      <c r="F36" s="490">
        <v>45.927899999999994</v>
      </c>
      <c r="G36" s="491">
        <v>10.613199999999999</v>
      </c>
      <c r="H36" s="192">
        <v>510.71699999999998</v>
      </c>
      <c r="I36" s="226">
        <v>2</v>
      </c>
      <c r="J36" s="215">
        <v>2</v>
      </c>
      <c r="K36" s="205">
        <v>1</v>
      </c>
      <c r="L36" s="255">
        <v>1021.434</v>
      </c>
      <c r="M36" s="230">
        <v>145.91914285714284</v>
      </c>
      <c r="N36" s="246">
        <v>147626.39682857142</v>
      </c>
      <c r="O36" s="247">
        <v>1.2018702130648505E-2</v>
      </c>
      <c r="P36" s="337"/>
      <c r="Q36" s="419">
        <v>479.84399999999999</v>
      </c>
      <c r="R36" s="418">
        <v>42.652799999999999</v>
      </c>
      <c r="S36" s="420">
        <v>10.6632</v>
      </c>
      <c r="T36" s="402">
        <f>SUM(Q36:S36)</f>
        <v>533.16</v>
      </c>
      <c r="U36" s="144">
        <v>2</v>
      </c>
      <c r="V36" s="145">
        <v>2</v>
      </c>
      <c r="W36" s="146">
        <v>2</v>
      </c>
      <c r="X36" s="279">
        <f t="shared" si="0"/>
        <v>959.68799999999999</v>
      </c>
      <c r="Y36" s="284">
        <f t="shared" si="0"/>
        <v>85.305599999999998</v>
      </c>
      <c r="Z36" s="286">
        <f t="shared" si="1"/>
        <v>21.3264</v>
      </c>
      <c r="AA36" s="126">
        <f t="shared" si="14"/>
        <v>1066.32</v>
      </c>
      <c r="AB36" s="120">
        <f t="shared" si="13"/>
        <v>152.33142857142857</v>
      </c>
      <c r="AC36" s="86">
        <v>420.27</v>
      </c>
      <c r="AD36" s="87">
        <v>489.16</v>
      </c>
      <c r="AE36" s="88">
        <v>102.27</v>
      </c>
      <c r="AF36" s="149">
        <f t="shared" si="3"/>
        <v>1011.7</v>
      </c>
      <c r="AG36" s="214">
        <v>7</v>
      </c>
      <c r="AH36" s="146" t="s">
        <v>63</v>
      </c>
      <c r="AI36" s="226">
        <f t="shared" si="9"/>
        <v>2</v>
      </c>
      <c r="AJ36" s="215">
        <f t="shared" si="4"/>
        <v>2</v>
      </c>
      <c r="AK36" s="205">
        <v>1</v>
      </c>
      <c r="AL36" s="255">
        <f t="shared" si="5"/>
        <v>1066.32</v>
      </c>
      <c r="AM36" s="230">
        <f t="shared" si="6"/>
        <v>152.33142857142857</v>
      </c>
      <c r="AN36" s="246">
        <f t="shared" si="7"/>
        <v>154113.70628571429</v>
      </c>
      <c r="AO36" s="247">
        <f t="shared" si="8"/>
        <v>1.2488319584897899E-2</v>
      </c>
      <c r="AP36" s="337"/>
      <c r="AQ36" s="372"/>
      <c r="AR36" s="349" t="s">
        <v>201</v>
      </c>
      <c r="AS36">
        <f>AS15+AS16</f>
        <v>1265.51</v>
      </c>
      <c r="AT36" s="438"/>
      <c r="AU36" s="333"/>
      <c r="AV36"/>
      <c r="AW36"/>
      <c r="AX36"/>
      <c r="AY36"/>
      <c r="AZ36"/>
      <c r="BE36" s="453"/>
      <c r="BI36" s="349"/>
      <c r="BJ36" s="372"/>
      <c r="BK36" s="372"/>
      <c r="BL36" s="372"/>
      <c r="BM36" s="372"/>
      <c r="BO36" s="372"/>
      <c r="BP36" s="372" t="s">
        <v>265</v>
      </c>
      <c r="BQ36" s="372">
        <f>67.62+44.63</f>
        <v>112.25</v>
      </c>
      <c r="BR36" s="372">
        <f>21.38+14.88</f>
        <v>36.26</v>
      </c>
      <c r="BS36" s="372">
        <f>11.85+10.85</f>
        <v>22.7</v>
      </c>
      <c r="BT36" s="372"/>
    </row>
    <row r="37" spans="1:72" ht="14.15" customHeight="1" x14ac:dyDescent="0.35">
      <c r="A37" s="517"/>
      <c r="B37" s="73">
        <v>1072</v>
      </c>
      <c r="C37" s="43"/>
      <c r="D37" s="91" t="s">
        <v>132</v>
      </c>
      <c r="E37" s="332">
        <v>397.55199999999996</v>
      </c>
      <c r="F37" s="365">
        <v>79.51039999999999</v>
      </c>
      <c r="G37" s="156">
        <v>20.691599999999998</v>
      </c>
      <c r="H37" s="486">
        <v>497.75399999999996</v>
      </c>
      <c r="I37" s="221">
        <v>30</v>
      </c>
      <c r="J37" s="216">
        <v>6</v>
      </c>
      <c r="K37" s="203">
        <v>0.2</v>
      </c>
      <c r="L37" s="253">
        <v>2986.5239999999999</v>
      </c>
      <c r="M37" s="228">
        <v>9.9550799999999988</v>
      </c>
      <c r="N37" s="233">
        <v>26514.260521199994</v>
      </c>
      <c r="O37" s="234">
        <v>2.1586044654924581E-3</v>
      </c>
      <c r="P37" s="338"/>
      <c r="Q37" s="332">
        <v>1265.51</v>
      </c>
      <c r="R37" s="365">
        <v>236.98</v>
      </c>
      <c r="S37" s="156">
        <v>69.98</v>
      </c>
      <c r="T37" s="259">
        <f t="shared" si="16"/>
        <v>1572.47</v>
      </c>
      <c r="U37" s="96">
        <v>30</v>
      </c>
      <c r="V37" s="97">
        <v>30</v>
      </c>
      <c r="W37" s="130">
        <v>30</v>
      </c>
      <c r="X37" s="294">
        <f>Q37*U37</f>
        <v>37965.300000000003</v>
      </c>
      <c r="Y37" s="293">
        <f t="shared" si="0"/>
        <v>7109.4</v>
      </c>
      <c r="Z37" s="300">
        <f t="shared" si="1"/>
        <v>2099.4</v>
      </c>
      <c r="AA37" s="101">
        <f t="shared" si="14"/>
        <v>47174.100000000006</v>
      </c>
      <c r="AB37" s="200">
        <f t="shared" si="13"/>
        <v>157.24700000000001</v>
      </c>
      <c r="AC37" s="102">
        <v>398.25</v>
      </c>
      <c r="AD37" s="103">
        <v>161.54</v>
      </c>
      <c r="AE37" s="104">
        <v>2103.6</v>
      </c>
      <c r="AF37" s="105">
        <f t="shared" si="3"/>
        <v>2663.39</v>
      </c>
      <c r="AG37" s="157">
        <v>300</v>
      </c>
      <c r="AH37" s="98" t="s">
        <v>60</v>
      </c>
      <c r="AI37" s="221">
        <f t="shared" si="9"/>
        <v>30.000000000000004</v>
      </c>
      <c r="AJ37" s="216">
        <f t="shared" si="4"/>
        <v>1.9500000000000004</v>
      </c>
      <c r="AK37" s="429">
        <v>6.5000000000000002E-2</v>
      </c>
      <c r="AL37" s="253">
        <f t="shared" si="5"/>
        <v>3066.3165000000004</v>
      </c>
      <c r="AM37" s="228">
        <f t="shared" si="6"/>
        <v>10.221055000000002</v>
      </c>
      <c r="AN37" s="233">
        <f t="shared" si="7"/>
        <v>27222.655676450002</v>
      </c>
      <c r="AO37" s="234">
        <f t="shared" si="8"/>
        <v>2.205937630277184E-3</v>
      </c>
      <c r="AP37" s="338"/>
      <c r="AQ37" s="372"/>
      <c r="AR37" s="349" t="s">
        <v>271</v>
      </c>
      <c r="AS37" s="349">
        <f>AT15+AT16</f>
        <v>236.98000000000002</v>
      </c>
      <c r="BA37" s="452" t="s">
        <v>272</v>
      </c>
      <c r="BB37" s="452">
        <f>BB13-SUM(BB14:BB23)</f>
        <v>566.43000000000006</v>
      </c>
      <c r="BC37" s="452">
        <f>BC13-SUM(BC14:BC23)</f>
        <v>314.17</v>
      </c>
      <c r="BD37" s="452">
        <f>BD13-SUM(BD14:BD23)</f>
        <v>76.460000000000008</v>
      </c>
      <c r="BE37" s="431">
        <f>SUM(BB37:BD37)</f>
        <v>957.06000000000017</v>
      </c>
      <c r="BI37" s="349"/>
      <c r="BJ37" s="349" t="s">
        <v>273</v>
      </c>
      <c r="BK37" s="373">
        <f>BK35+BQ39</f>
        <v>354.71000000000004</v>
      </c>
      <c r="BL37" s="373">
        <f>BL35+BR39</f>
        <v>322.66000000000008</v>
      </c>
      <c r="BM37" s="373">
        <f>BM35+BS39</f>
        <v>158.71</v>
      </c>
      <c r="BO37" s="371"/>
      <c r="BP37" s="373" t="s">
        <v>266</v>
      </c>
      <c r="BQ37" s="408">
        <f>BQ36-BQ30</f>
        <v>110.05</v>
      </c>
      <c r="BR37" s="372">
        <f>BR36</f>
        <v>36.26</v>
      </c>
      <c r="BS37" s="372">
        <f>BS36</f>
        <v>22.7</v>
      </c>
      <c r="BT37" s="373"/>
    </row>
    <row r="38" spans="1:72" ht="14.15" customHeight="1" x14ac:dyDescent="0.35">
      <c r="A38" s="517"/>
      <c r="B38" s="73">
        <v>1073</v>
      </c>
      <c r="C38" s="43"/>
      <c r="D38" s="91" t="s">
        <v>133</v>
      </c>
      <c r="E38" s="127">
        <v>2400</v>
      </c>
      <c r="F38" s="93">
        <v>88990</v>
      </c>
      <c r="G38" s="128">
        <v>0</v>
      </c>
      <c r="H38" s="131">
        <v>91390</v>
      </c>
      <c r="I38" s="221">
        <v>0.25</v>
      </c>
      <c r="J38" s="216">
        <v>0.02</v>
      </c>
      <c r="K38" s="203">
        <v>0.08</v>
      </c>
      <c r="L38" s="253">
        <v>1827.8</v>
      </c>
      <c r="M38" s="228">
        <v>3.0463333333333331</v>
      </c>
      <c r="N38" s="233">
        <v>5129.2028233333331</v>
      </c>
      <c r="O38" s="234">
        <v>4.1758359091369289E-4</v>
      </c>
      <c r="P38" s="339">
        <v>436561.21237161895</v>
      </c>
      <c r="Q38" s="127">
        <v>11120</v>
      </c>
      <c r="R38" s="93">
        <v>700</v>
      </c>
      <c r="S38" s="128"/>
      <c r="T38" s="131">
        <f t="shared" si="16"/>
        <v>11820</v>
      </c>
      <c r="U38" s="96">
        <v>0.25</v>
      </c>
      <c r="V38" s="97">
        <v>0.25</v>
      </c>
      <c r="W38" s="130">
        <v>0.25</v>
      </c>
      <c r="X38" s="294">
        <f>Q38*U38</f>
        <v>2780</v>
      </c>
      <c r="Y38" s="289">
        <f>R38*V38</f>
        <v>175</v>
      </c>
      <c r="Z38" s="300">
        <f>S38*W38</f>
        <v>0</v>
      </c>
      <c r="AA38" s="101">
        <f t="shared" si="14"/>
        <v>2955</v>
      </c>
      <c r="AB38" s="200">
        <f t="shared" si="13"/>
        <v>4.9249999999999998</v>
      </c>
      <c r="AC38" s="102">
        <v>629.49</v>
      </c>
      <c r="AD38" s="103">
        <v>639.54</v>
      </c>
      <c r="AE38" s="104">
        <v>414.7</v>
      </c>
      <c r="AF38" s="105">
        <f t="shared" si="3"/>
        <v>1683.73</v>
      </c>
      <c r="AG38" s="157">
        <v>600</v>
      </c>
      <c r="AH38" s="98" t="s">
        <v>62</v>
      </c>
      <c r="AI38" s="221">
        <f t="shared" si="9"/>
        <v>0.25</v>
      </c>
      <c r="AJ38" s="216">
        <f t="shared" si="4"/>
        <v>0.20013800000000001</v>
      </c>
      <c r="AK38" s="203">
        <v>0.80055200000000004</v>
      </c>
      <c r="AL38" s="253">
        <f t="shared" si="5"/>
        <v>2365.6311599999999</v>
      </c>
      <c r="AM38" s="228">
        <f t="shared" si="6"/>
        <v>3.9427185999999996</v>
      </c>
      <c r="AN38" s="233">
        <f t="shared" si="7"/>
        <v>6638.4735883779995</v>
      </c>
      <c r="AO38" s="234">
        <f t="shared" si="8"/>
        <v>5.3793644787097829E-4</v>
      </c>
      <c r="AP38" s="339">
        <f>SUM(AN36:AN40)</f>
        <v>728417.57425797079</v>
      </c>
      <c r="AQ38" s="373"/>
      <c r="AR38" s="349" t="s">
        <v>274</v>
      </c>
      <c r="AS38" s="349">
        <f>AU15+AU16</f>
        <v>69.98</v>
      </c>
      <c r="BA38" s="349" t="s">
        <v>164</v>
      </c>
      <c r="BB38" s="349">
        <v>38.799999999999997</v>
      </c>
      <c r="BE38" s="431">
        <f t="shared" ref="BE38:BE40" si="18">SUM(BB38:BD38)</f>
        <v>38.799999999999997</v>
      </c>
      <c r="BI38" s="349"/>
      <c r="BJ38" s="374"/>
      <c r="BK38" s="374"/>
      <c r="BL38" s="374"/>
      <c r="BM38" s="374"/>
      <c r="BO38" s="374"/>
      <c r="BP38" s="374" t="s">
        <v>267</v>
      </c>
      <c r="BQ38" s="414">
        <f>11.2+10.4</f>
        <v>21.6</v>
      </c>
      <c r="BR38" s="414"/>
      <c r="BS38" s="374"/>
      <c r="BT38" s="374"/>
    </row>
    <row r="39" spans="1:72" ht="14.15" customHeight="1" x14ac:dyDescent="0.35">
      <c r="A39" s="517"/>
      <c r="B39" s="73">
        <v>7074</v>
      </c>
      <c r="C39" s="43"/>
      <c r="D39" s="91" t="s">
        <v>134</v>
      </c>
      <c r="E39" s="492">
        <v>397.55199999999996</v>
      </c>
      <c r="F39" s="155">
        <v>79.51039999999999</v>
      </c>
      <c r="G39" s="156">
        <v>20.691599999999998</v>
      </c>
      <c r="H39" s="482">
        <v>497.75399999999996</v>
      </c>
      <c r="I39" s="221">
        <v>57.307445043133761</v>
      </c>
      <c r="J39" s="216">
        <v>17.192233512940128</v>
      </c>
      <c r="K39" s="203">
        <v>0.3</v>
      </c>
      <c r="L39" s="253">
        <v>8557.5029999999988</v>
      </c>
      <c r="M39" s="228">
        <v>24.450008571428569</v>
      </c>
      <c r="N39" s="233">
        <v>257291.35219851424</v>
      </c>
      <c r="O39" s="234">
        <v>2.0946850897245746E-2</v>
      </c>
      <c r="P39" s="340">
        <v>3.5541741084300402E-2</v>
      </c>
      <c r="Q39" s="332">
        <v>1265.51</v>
      </c>
      <c r="R39" s="365">
        <v>236.98</v>
      </c>
      <c r="S39" s="156">
        <v>69.98</v>
      </c>
      <c r="T39" s="361">
        <f>SUM(Q39:S39)</f>
        <v>1572.47</v>
      </c>
      <c r="U39" s="96">
        <v>35</v>
      </c>
      <c r="V39" s="97">
        <v>120</v>
      </c>
      <c r="W39" s="130">
        <v>245</v>
      </c>
      <c r="X39" s="283">
        <f t="shared" si="0"/>
        <v>44292.85</v>
      </c>
      <c r="Y39" s="293">
        <f t="shared" si="0"/>
        <v>28437.599999999999</v>
      </c>
      <c r="Z39" s="300">
        <f t="shared" si="1"/>
        <v>17145.100000000002</v>
      </c>
      <c r="AA39" s="101">
        <f t="shared" si="14"/>
        <v>89875.55</v>
      </c>
      <c r="AB39" s="101">
        <f t="shared" si="13"/>
        <v>256.7872857142857</v>
      </c>
      <c r="AC39" s="102">
        <v>559.75</v>
      </c>
      <c r="AD39" s="103">
        <v>810.91</v>
      </c>
      <c r="AE39" s="104">
        <v>9152.5</v>
      </c>
      <c r="AF39" s="105">
        <f t="shared" si="3"/>
        <v>10523.16</v>
      </c>
      <c r="AG39" s="157">
        <v>350</v>
      </c>
      <c r="AH39" s="98" t="s">
        <v>60</v>
      </c>
      <c r="AI39" s="221">
        <f t="shared" si="9"/>
        <v>57.155653208010328</v>
      </c>
      <c r="AJ39" s="216">
        <f t="shared" si="4"/>
        <v>11.431130641602067</v>
      </c>
      <c r="AK39" s="203">
        <v>0.2</v>
      </c>
      <c r="AL39" s="253">
        <f t="shared" si="5"/>
        <v>17975.11</v>
      </c>
      <c r="AM39" s="228">
        <f t="shared" si="6"/>
        <v>51.357457142857143</v>
      </c>
      <c r="AN39" s="233">
        <f t="shared" si="7"/>
        <v>540442.73870742857</v>
      </c>
      <c r="AO39" s="234">
        <f t="shared" si="8"/>
        <v>4.3793779287893637E-2</v>
      </c>
      <c r="AP39" s="340">
        <f>SUM(AO36:AO40)</f>
        <v>5.9025972950939698E-2</v>
      </c>
      <c r="AQ39" s="408">
        <f>AL39/0.7</f>
        <v>25678.728571428575</v>
      </c>
      <c r="AS39" s="349">
        <f>SUM(AS36:AS38)</f>
        <v>1572.47</v>
      </c>
      <c r="BA39" s="349" t="s">
        <v>167</v>
      </c>
      <c r="BB39" s="349">
        <f>(15.9+16.18)</f>
        <v>32.08</v>
      </c>
      <c r="BC39" s="349">
        <f>(1.58+1.8)</f>
        <v>3.38</v>
      </c>
      <c r="BD39" s="349">
        <f>(0.2+0.7)</f>
        <v>0.89999999999999991</v>
      </c>
      <c r="BE39" s="431">
        <f t="shared" si="18"/>
        <v>36.36</v>
      </c>
      <c r="BI39" s="349"/>
      <c r="BJ39" s="372"/>
      <c r="BK39" s="372"/>
      <c r="BL39" s="372"/>
      <c r="BO39" s="372"/>
      <c r="BP39" s="372" t="s">
        <v>270</v>
      </c>
      <c r="BQ39" s="408">
        <f>BQ36+BQ34+BQ38</f>
        <v>134.65</v>
      </c>
      <c r="BR39" s="408">
        <f>BR36+BR34+BR38</f>
        <v>37.159999999999997</v>
      </c>
      <c r="BS39" s="408">
        <f>BS36+BS34+BS38</f>
        <v>22.9</v>
      </c>
      <c r="BT39" s="372"/>
    </row>
    <row r="40" spans="1:72" ht="14.15" customHeight="1" x14ac:dyDescent="0.35">
      <c r="A40" s="517"/>
      <c r="B40" s="74">
        <v>7075</v>
      </c>
      <c r="C40" s="44"/>
      <c r="D40" s="106" t="s">
        <v>135</v>
      </c>
      <c r="E40" s="493">
        <v>397.55199999999996</v>
      </c>
      <c r="F40" s="365">
        <v>79.51039999999999</v>
      </c>
      <c r="G40" s="156">
        <v>20.691599999999998</v>
      </c>
      <c r="H40" s="159">
        <v>497.75399999999996</v>
      </c>
      <c r="I40" s="222">
        <v>29.124286294032792</v>
      </c>
      <c r="J40" s="218"/>
      <c r="K40" s="204" t="s">
        <v>2</v>
      </c>
      <c r="L40" s="256"/>
      <c r="M40" s="232">
        <v>0</v>
      </c>
      <c r="N40" s="243">
        <v>0</v>
      </c>
      <c r="O40" s="242">
        <v>0</v>
      </c>
      <c r="P40" s="341"/>
      <c r="Q40" s="332">
        <v>1265.51</v>
      </c>
      <c r="R40" s="365">
        <v>236.98</v>
      </c>
      <c r="S40" s="156">
        <v>69.98</v>
      </c>
      <c r="T40" s="261">
        <f t="shared" si="16"/>
        <v>1572.47</v>
      </c>
      <c r="U40" s="135">
        <v>20</v>
      </c>
      <c r="V40" s="136">
        <v>55</v>
      </c>
      <c r="W40" s="137">
        <v>105</v>
      </c>
      <c r="X40" s="256">
        <f t="shared" si="0"/>
        <v>25310.2</v>
      </c>
      <c r="Y40" s="285">
        <f t="shared" si="0"/>
        <v>13033.9</v>
      </c>
      <c r="Z40" s="287">
        <f t="shared" si="1"/>
        <v>7347.9000000000005</v>
      </c>
      <c r="AA40" s="138">
        <f t="shared" si="14"/>
        <v>45692</v>
      </c>
      <c r="AB40" s="85">
        <f t="shared" si="13"/>
        <v>130.54857142857142</v>
      </c>
      <c r="AC40" s="107">
        <v>559.75</v>
      </c>
      <c r="AD40" s="108">
        <v>810.91</v>
      </c>
      <c r="AE40" s="109">
        <v>22750</v>
      </c>
      <c r="AF40" s="89">
        <f t="shared" si="3"/>
        <v>24120.66</v>
      </c>
      <c r="AG40" s="160">
        <v>350</v>
      </c>
      <c r="AH40" s="209" t="s">
        <v>60</v>
      </c>
      <c r="AI40" s="222">
        <f t="shared" si="9"/>
        <v>29.057470094818978</v>
      </c>
      <c r="AJ40" s="218"/>
      <c r="AK40" s="204" t="s">
        <v>2</v>
      </c>
      <c r="AL40" s="256"/>
      <c r="AM40" s="232"/>
      <c r="AN40" s="243"/>
      <c r="AO40" s="242"/>
      <c r="AP40" s="341"/>
      <c r="AQ40" s="372"/>
      <c r="BA40" s="349" t="s">
        <v>168</v>
      </c>
      <c r="BB40" s="349">
        <v>14</v>
      </c>
      <c r="BE40" s="431">
        <f t="shared" si="18"/>
        <v>14</v>
      </c>
      <c r="BI40" s="349"/>
      <c r="BJ40" s="372"/>
      <c r="BK40" s="372"/>
      <c r="BL40" s="372"/>
      <c r="BO40" s="372"/>
      <c r="BP40" s="372"/>
      <c r="BQ40" s="372"/>
      <c r="BR40" s="372"/>
      <c r="BS40" s="372"/>
      <c r="BT40" s="372"/>
    </row>
    <row r="41" spans="1:72" ht="14.15" customHeight="1" x14ac:dyDescent="0.35">
      <c r="A41" s="518" t="s">
        <v>73</v>
      </c>
      <c r="B41" s="140">
        <v>9091</v>
      </c>
      <c r="C41" s="42"/>
      <c r="D41" s="141" t="s">
        <v>136</v>
      </c>
      <c r="E41" s="180">
        <v>423.09118569752354</v>
      </c>
      <c r="F41" s="181">
        <v>129.561280182795</v>
      </c>
      <c r="G41" s="182">
        <v>21.250135243623788</v>
      </c>
      <c r="H41" s="185">
        <v>573.9026011239423</v>
      </c>
      <c r="I41" s="226">
        <v>20</v>
      </c>
      <c r="J41" s="219">
        <v>15</v>
      </c>
      <c r="K41" s="205">
        <v>0.75</v>
      </c>
      <c r="L41" s="257">
        <v>8608.5390168591348</v>
      </c>
      <c r="M41" s="231">
        <v>358.68912570246397</v>
      </c>
      <c r="N41" s="244">
        <v>200424.72276876579</v>
      </c>
      <c r="O41" s="245">
        <v>1.6317170196687998E-2</v>
      </c>
      <c r="P41" s="337"/>
      <c r="Q41" s="180">
        <v>380.26</v>
      </c>
      <c r="R41" s="181">
        <v>125.29</v>
      </c>
      <c r="S41" s="182">
        <v>27.61</v>
      </c>
      <c r="T41" s="412">
        <f>SUM(Q41:S41)</f>
        <v>533.16</v>
      </c>
      <c r="U41" s="80">
        <v>20</v>
      </c>
      <c r="V41" s="81">
        <v>20</v>
      </c>
      <c r="W41" s="82">
        <v>20</v>
      </c>
      <c r="X41" s="279">
        <f t="shared" si="0"/>
        <v>7605.2</v>
      </c>
      <c r="Y41" s="284">
        <f t="shared" si="0"/>
        <v>2505.8000000000002</v>
      </c>
      <c r="Z41" s="286">
        <f t="shared" si="1"/>
        <v>552.20000000000005</v>
      </c>
      <c r="AA41" s="282">
        <f t="shared" si="14"/>
        <v>10663.2</v>
      </c>
      <c r="AB41" s="120">
        <f t="shared" si="13"/>
        <v>444.3</v>
      </c>
      <c r="AC41" s="86">
        <v>258.77</v>
      </c>
      <c r="AD41" s="87">
        <v>300</v>
      </c>
      <c r="AE41" s="88"/>
      <c r="AF41" s="149">
        <f t="shared" si="3"/>
        <v>558.77</v>
      </c>
      <c r="AG41" s="212">
        <v>24</v>
      </c>
      <c r="AH41" s="208" t="s">
        <v>65</v>
      </c>
      <c r="AI41" s="226">
        <f t="shared" si="9"/>
        <v>20.000000000000004</v>
      </c>
      <c r="AJ41" s="219">
        <f t="shared" si="4"/>
        <v>15.000000000000004</v>
      </c>
      <c r="AK41" s="205">
        <v>0.75</v>
      </c>
      <c r="AL41" s="257">
        <f t="shared" si="5"/>
        <v>7997.4000000000005</v>
      </c>
      <c r="AM41" s="231">
        <f t="shared" si="6"/>
        <v>333.22500000000002</v>
      </c>
      <c r="AN41" s="244">
        <f t="shared" si="7"/>
        <v>186196.13325000001</v>
      </c>
      <c r="AO41" s="245">
        <f t="shared" si="8"/>
        <v>1.5088059806876357E-2</v>
      </c>
      <c r="AP41" s="337"/>
      <c r="AQ41" s="372"/>
      <c r="BA41" s="349" t="s">
        <v>275</v>
      </c>
      <c r="BB41" s="349">
        <f>1.2</f>
        <v>1.2</v>
      </c>
      <c r="BC41" s="349">
        <f>(2.7+2.9)</f>
        <v>5.6</v>
      </c>
      <c r="BD41" s="349">
        <f>0.2</f>
        <v>0.2</v>
      </c>
      <c r="BE41" s="431">
        <f>SUM(BB41:BD41)</f>
        <v>7</v>
      </c>
      <c r="BI41" s="349"/>
      <c r="BJ41" s="372"/>
      <c r="BK41" s="372"/>
      <c r="BL41" s="372"/>
      <c r="BO41" s="373"/>
      <c r="BP41" s="373"/>
      <c r="BQ41" s="373"/>
      <c r="BR41" s="373"/>
      <c r="BS41" s="373"/>
      <c r="BT41" s="373"/>
    </row>
    <row r="42" spans="1:72" ht="14.15" customHeight="1" x14ac:dyDescent="0.35">
      <c r="A42" s="519"/>
      <c r="B42" s="73">
        <v>9092</v>
      </c>
      <c r="C42" s="43"/>
      <c r="D42" s="91" t="s">
        <v>137</v>
      </c>
      <c r="E42" s="127">
        <v>423.09118569752354</v>
      </c>
      <c r="F42" s="93">
        <v>129.561280182795</v>
      </c>
      <c r="G42" s="128">
        <v>21.250135243623788</v>
      </c>
      <c r="H42" s="129">
        <v>573.9026011239423</v>
      </c>
      <c r="I42" s="221">
        <v>0.25</v>
      </c>
      <c r="J42" s="216">
        <v>0.1875</v>
      </c>
      <c r="K42" s="203">
        <v>0.75</v>
      </c>
      <c r="L42" s="253">
        <v>107.60673771073918</v>
      </c>
      <c r="M42" s="228">
        <v>215.21347542147836</v>
      </c>
      <c r="N42" s="233">
        <v>208957.21969097597</v>
      </c>
      <c r="O42" s="234">
        <v>1.7011826038338073E-2</v>
      </c>
      <c r="P42" s="338"/>
      <c r="Q42" s="127">
        <v>380.26</v>
      </c>
      <c r="R42" s="93">
        <v>125.29</v>
      </c>
      <c r="S42" s="128">
        <v>27.61</v>
      </c>
      <c r="T42" s="263">
        <f>SUM(Q42:S42)</f>
        <v>533.16</v>
      </c>
      <c r="U42" s="96">
        <v>0.25</v>
      </c>
      <c r="V42" s="97">
        <v>0.25</v>
      </c>
      <c r="W42" s="130">
        <v>0.25</v>
      </c>
      <c r="X42" s="296">
        <f t="shared" si="0"/>
        <v>95.064999999999998</v>
      </c>
      <c r="Y42" s="293">
        <f t="shared" si="0"/>
        <v>31.322500000000002</v>
      </c>
      <c r="Z42" s="295">
        <f t="shared" si="1"/>
        <v>6.9024999999999999</v>
      </c>
      <c r="AA42" s="101">
        <f t="shared" si="14"/>
        <v>133.29</v>
      </c>
      <c r="AB42" s="200">
        <f t="shared" si="13"/>
        <v>266.58</v>
      </c>
      <c r="AC42" s="102">
        <v>420.27</v>
      </c>
      <c r="AD42" s="103">
        <v>550.66</v>
      </c>
      <c r="AE42" s="104"/>
      <c r="AF42" s="189">
        <f t="shared" si="3"/>
        <v>970.93</v>
      </c>
      <c r="AG42" s="157">
        <v>0.5</v>
      </c>
      <c r="AH42" s="98" t="s">
        <v>66</v>
      </c>
      <c r="AI42" s="221">
        <f t="shared" si="9"/>
        <v>0.25</v>
      </c>
      <c r="AJ42" s="216">
        <f t="shared" si="4"/>
        <v>0.1875</v>
      </c>
      <c r="AK42" s="203">
        <v>0.75</v>
      </c>
      <c r="AL42" s="253">
        <f>AK42*AA42</f>
        <v>99.967500000000001</v>
      </c>
      <c r="AM42" s="228">
        <f t="shared" si="6"/>
        <v>199.935</v>
      </c>
      <c r="AN42" s="233">
        <f t="shared" si="7"/>
        <v>194122.88954999999</v>
      </c>
      <c r="AO42" s="234">
        <f t="shared" si="8"/>
        <v>1.5730389865193685E-2</v>
      </c>
      <c r="AP42" s="338"/>
      <c r="AQ42" s="372"/>
      <c r="BA42" s="349" t="s">
        <v>165</v>
      </c>
      <c r="BB42" s="349">
        <f>(7.4+13.7)</f>
        <v>21.1</v>
      </c>
      <c r="BC42" s="349">
        <f>(9.4+4.6)</f>
        <v>14</v>
      </c>
      <c r="BD42" s="349">
        <f>(4.5+3)</f>
        <v>7.5</v>
      </c>
      <c r="BE42" s="431">
        <f>SUM(BB42:BD42)</f>
        <v>42.6</v>
      </c>
      <c r="BI42" s="349"/>
      <c r="BJ42" s="373"/>
      <c r="BK42" s="373"/>
      <c r="BL42" s="373"/>
      <c r="BO42" s="374"/>
      <c r="BP42" s="374"/>
      <c r="BQ42" s="374"/>
      <c r="BR42" s="374"/>
      <c r="BS42" s="374"/>
      <c r="BT42" s="374"/>
    </row>
    <row r="43" spans="1:72" ht="14.15" customHeight="1" x14ac:dyDescent="0.35">
      <c r="A43" s="519"/>
      <c r="B43" s="73">
        <v>9093</v>
      </c>
      <c r="C43" s="43"/>
      <c r="D43" s="91" t="s">
        <v>138</v>
      </c>
      <c r="E43" s="127">
        <v>423.09118569752354</v>
      </c>
      <c r="F43" s="93">
        <v>129.561280182795</v>
      </c>
      <c r="G43" s="128">
        <v>21.250135243623788</v>
      </c>
      <c r="H43" s="129">
        <v>573.9026011239423</v>
      </c>
      <c r="I43" s="221">
        <v>5</v>
      </c>
      <c r="J43" s="216">
        <v>3.75</v>
      </c>
      <c r="K43" s="203">
        <v>0.75</v>
      </c>
      <c r="L43" s="253">
        <v>2152.1347542147837</v>
      </c>
      <c r="M43" s="228">
        <v>33.627105534605995</v>
      </c>
      <c r="N43" s="233">
        <v>40965.885046478405</v>
      </c>
      <c r="O43" s="234">
        <v>3.3351540135721962E-3</v>
      </c>
      <c r="P43" s="339">
        <v>513314.57075228787</v>
      </c>
      <c r="Q43" s="127">
        <v>380.26</v>
      </c>
      <c r="R43" s="93">
        <v>125.29</v>
      </c>
      <c r="S43" s="128">
        <v>27.61</v>
      </c>
      <c r="T43" s="263">
        <f>SUM(Q43:S43)</f>
        <v>533.16</v>
      </c>
      <c r="U43" s="96">
        <v>5</v>
      </c>
      <c r="V43" s="97">
        <v>5</v>
      </c>
      <c r="W43" s="130">
        <v>5</v>
      </c>
      <c r="X43" s="294">
        <f t="shared" si="0"/>
        <v>1901.3</v>
      </c>
      <c r="Y43" s="293">
        <f>R43*V43</f>
        <v>626.45000000000005</v>
      </c>
      <c r="Z43" s="292">
        <f t="shared" si="1"/>
        <v>138.05000000000001</v>
      </c>
      <c r="AA43" s="101">
        <f t="shared" si="14"/>
        <v>2665.8</v>
      </c>
      <c r="AB43" s="200">
        <f t="shared" si="13"/>
        <v>41.653125000000003</v>
      </c>
      <c r="AC43" s="102">
        <v>629.49</v>
      </c>
      <c r="AD43" s="103">
        <v>588.75</v>
      </c>
      <c r="AE43" s="104"/>
      <c r="AF43" s="187">
        <f t="shared" si="3"/>
        <v>1218.24</v>
      </c>
      <c r="AG43" s="157">
        <v>64</v>
      </c>
      <c r="AH43" s="98" t="s">
        <v>65</v>
      </c>
      <c r="AI43" s="221">
        <f t="shared" si="9"/>
        <v>5.0000000000000009</v>
      </c>
      <c r="AJ43" s="216">
        <f t="shared" si="4"/>
        <v>3.7500000000000009</v>
      </c>
      <c r="AK43" s="203">
        <v>0.75</v>
      </c>
      <c r="AL43" s="253">
        <f t="shared" si="5"/>
        <v>1999.3500000000001</v>
      </c>
      <c r="AM43" s="228">
        <f t="shared" si="6"/>
        <v>31.239843750000002</v>
      </c>
      <c r="AN43" s="233">
        <f t="shared" si="7"/>
        <v>38057.627250000005</v>
      </c>
      <c r="AO43" s="234">
        <f t="shared" si="8"/>
        <v>3.083929542644288E-3</v>
      </c>
      <c r="AP43" s="339">
        <f>SUM(AN41:AN46)</f>
        <v>485648.07573360007</v>
      </c>
      <c r="AQ43" s="373"/>
      <c r="BA43" s="451" t="s">
        <v>166</v>
      </c>
      <c r="BB43" s="451">
        <f>(9.6+9+5)</f>
        <v>23.6</v>
      </c>
      <c r="BC43" s="451">
        <f>(4+2.6)</f>
        <v>6.6</v>
      </c>
      <c r="BD43" s="451">
        <f>(1.4+3)</f>
        <v>4.4000000000000004</v>
      </c>
      <c r="BE43" s="431">
        <f>SUM(BB43:BD43)</f>
        <v>34.6</v>
      </c>
      <c r="BI43" s="349"/>
      <c r="BJ43" s="374"/>
      <c r="BK43" s="374"/>
      <c r="BL43" s="374"/>
      <c r="BM43" s="374"/>
      <c r="BR43" s="372"/>
      <c r="BS43" s="372"/>
      <c r="BT43" s="372"/>
    </row>
    <row r="44" spans="1:72" ht="14.15" customHeight="1" x14ac:dyDescent="0.35">
      <c r="A44" s="519"/>
      <c r="B44" s="73">
        <v>9194</v>
      </c>
      <c r="C44" s="43"/>
      <c r="D44" s="91" t="s">
        <v>139</v>
      </c>
      <c r="E44" s="127">
        <v>423.09118569752354</v>
      </c>
      <c r="F44" s="93">
        <v>129.561280182795</v>
      </c>
      <c r="G44" s="128">
        <v>21.250135243623788</v>
      </c>
      <c r="H44" s="129">
        <v>573.9026011239423</v>
      </c>
      <c r="I44" s="221">
        <v>5</v>
      </c>
      <c r="J44" s="216">
        <v>3.75</v>
      </c>
      <c r="K44" s="203">
        <v>0.75</v>
      </c>
      <c r="L44" s="253">
        <v>2152.1347542147837</v>
      </c>
      <c r="M44" s="228">
        <v>23.912608380164265</v>
      </c>
      <c r="N44" s="233">
        <v>50883.400246067737</v>
      </c>
      <c r="O44" s="234">
        <v>4.1425682946269393E-3</v>
      </c>
      <c r="P44" s="340">
        <v>4.1790459279159434E-2</v>
      </c>
      <c r="Q44" s="127">
        <v>380.26</v>
      </c>
      <c r="R44" s="93">
        <v>125.29</v>
      </c>
      <c r="S44" s="128">
        <v>27.61</v>
      </c>
      <c r="T44" s="263">
        <f>SUM(Q44:S44)</f>
        <v>533.16</v>
      </c>
      <c r="U44" s="96">
        <v>5</v>
      </c>
      <c r="V44" s="97">
        <v>5</v>
      </c>
      <c r="W44" s="130">
        <v>5</v>
      </c>
      <c r="X44" s="290">
        <f t="shared" si="0"/>
        <v>1901.3</v>
      </c>
      <c r="Y44" s="291">
        <f>R44*V44</f>
        <v>626.45000000000005</v>
      </c>
      <c r="Z44" s="292">
        <f t="shared" si="1"/>
        <v>138.05000000000001</v>
      </c>
      <c r="AA44" s="101">
        <f t="shared" si="14"/>
        <v>2665.8</v>
      </c>
      <c r="AB44" s="101">
        <f t="shared" si="13"/>
        <v>29.62</v>
      </c>
      <c r="AC44" s="102">
        <v>767.14</v>
      </c>
      <c r="AD44" s="103">
        <v>1360.75</v>
      </c>
      <c r="AE44" s="104"/>
      <c r="AF44" s="187">
        <f t="shared" si="3"/>
        <v>2127.89</v>
      </c>
      <c r="AG44" s="157">
        <v>90</v>
      </c>
      <c r="AH44" s="98" t="s">
        <v>65</v>
      </c>
      <c r="AI44" s="221">
        <f t="shared" si="9"/>
        <v>5.0000000000000009</v>
      </c>
      <c r="AJ44" s="216">
        <f t="shared" si="4"/>
        <v>3.7500000000000009</v>
      </c>
      <c r="AK44" s="203">
        <v>0.75</v>
      </c>
      <c r="AL44" s="253">
        <f t="shared" si="5"/>
        <v>1999.3500000000001</v>
      </c>
      <c r="AM44" s="228">
        <f t="shared" si="6"/>
        <v>22.215</v>
      </c>
      <c r="AN44" s="233">
        <f t="shared" si="7"/>
        <v>47271.076349999996</v>
      </c>
      <c r="AO44" s="234">
        <f t="shared" si="8"/>
        <v>3.8305243758557936E-3</v>
      </c>
      <c r="AP44" s="340">
        <f>SUM(AO41:AO46)</f>
        <v>3.9353594963889911E-2</v>
      </c>
      <c r="AQ44" s="374"/>
      <c r="BA44" s="451" t="s">
        <v>276</v>
      </c>
      <c r="BB44" s="451">
        <f>BB37-SUM(BB38:BB43)</f>
        <v>435.65000000000009</v>
      </c>
      <c r="BC44" s="451">
        <f>BC37-SUM(BC38:BC43)</f>
        <v>284.59000000000003</v>
      </c>
      <c r="BD44" s="451">
        <f>BD37-SUM(BD38:BD43)</f>
        <v>63.460000000000008</v>
      </c>
      <c r="BE44" s="453">
        <f>SUM(BB44:BD44)</f>
        <v>783.70000000000016</v>
      </c>
      <c r="BI44" s="374"/>
      <c r="BR44" s="372"/>
      <c r="BS44" s="372"/>
      <c r="BT44" s="372"/>
    </row>
    <row r="45" spans="1:72" ht="14.15" customHeight="1" x14ac:dyDescent="0.35">
      <c r="A45" s="519"/>
      <c r="B45" s="73">
        <v>9195</v>
      </c>
      <c r="C45" s="43"/>
      <c r="D45" s="91" t="s">
        <v>140</v>
      </c>
      <c r="E45" s="127">
        <v>0</v>
      </c>
      <c r="F45" s="93">
        <v>0</v>
      </c>
      <c r="G45" s="128">
        <v>0</v>
      </c>
      <c r="H45" s="129"/>
      <c r="I45" s="221"/>
      <c r="J45" s="216"/>
      <c r="K45" s="203" t="s">
        <v>2</v>
      </c>
      <c r="L45" s="253"/>
      <c r="M45" s="228"/>
      <c r="N45" s="233"/>
      <c r="O45" s="234"/>
      <c r="P45" s="344"/>
      <c r="Q45" s="127">
        <v>0</v>
      </c>
      <c r="R45" s="93">
        <v>0</v>
      </c>
      <c r="S45" s="128">
        <v>0</v>
      </c>
      <c r="T45" s="129"/>
      <c r="U45" s="96"/>
      <c r="V45" s="97"/>
      <c r="W45" s="130"/>
      <c r="X45" s="290"/>
      <c r="Y45" s="289"/>
      <c r="Z45" s="288"/>
      <c r="AA45" s="101"/>
      <c r="AB45" s="101"/>
      <c r="AC45" s="102"/>
      <c r="AD45" s="103"/>
      <c r="AE45" s="104"/>
      <c r="AF45" s="153"/>
      <c r="AG45" s="157">
        <v>0</v>
      </c>
      <c r="AH45" s="208" t="s">
        <v>67</v>
      </c>
      <c r="AI45" s="221"/>
      <c r="AJ45" s="216"/>
      <c r="AK45" s="203" t="s">
        <v>2</v>
      </c>
      <c r="AL45" s="253"/>
      <c r="AM45" s="228"/>
      <c r="AN45" s="233"/>
      <c r="AO45" s="234"/>
      <c r="AP45" s="344"/>
      <c r="AQ45" s="374"/>
      <c r="AR45" s="374"/>
      <c r="AS45" s="374"/>
      <c r="AT45" s="374"/>
      <c r="AU45" s="374"/>
      <c r="AV45" s="374"/>
      <c r="AW45" s="374"/>
      <c r="AX45" s="374"/>
      <c r="AY45" s="374"/>
      <c r="AZ45" s="374" t="s">
        <v>260</v>
      </c>
      <c r="BA45" s="349" t="s">
        <v>275</v>
      </c>
      <c r="BB45" s="349">
        <f>1.2*3</f>
        <v>3.5999999999999996</v>
      </c>
      <c r="BC45" s="349">
        <f>(2.7+2.9)*3</f>
        <v>16.799999999999997</v>
      </c>
      <c r="BD45" s="349">
        <f>0.2*3</f>
        <v>0.60000000000000009</v>
      </c>
      <c r="BE45" s="431">
        <f t="shared" ref="BE45:BE53" si="19">SUM(BB45:BD45)</f>
        <v>21</v>
      </c>
      <c r="BI45" s="372"/>
      <c r="BR45" s="372"/>
      <c r="BS45" s="372"/>
      <c r="BT45" s="372"/>
    </row>
    <row r="46" spans="1:72" ht="14.15" customHeight="1" x14ac:dyDescent="0.35">
      <c r="A46" s="520"/>
      <c r="B46" s="74">
        <v>9500</v>
      </c>
      <c r="C46" s="44"/>
      <c r="D46" s="106" t="s">
        <v>141</v>
      </c>
      <c r="E46" s="132">
        <v>0</v>
      </c>
      <c r="F46" s="133">
        <v>1</v>
      </c>
      <c r="G46" s="134">
        <v>0</v>
      </c>
      <c r="H46" s="186">
        <v>1</v>
      </c>
      <c r="I46" s="222">
        <v>1</v>
      </c>
      <c r="J46" s="218">
        <v>0.1</v>
      </c>
      <c r="K46" s="204">
        <v>0.1</v>
      </c>
      <c r="L46" s="256">
        <v>0.1</v>
      </c>
      <c r="M46" s="232">
        <v>0.1</v>
      </c>
      <c r="N46" s="241">
        <v>12083.343000000001</v>
      </c>
      <c r="O46" s="242">
        <v>9.8374073593422446E-4</v>
      </c>
      <c r="P46" s="341"/>
      <c r="Q46" s="132">
        <v>0</v>
      </c>
      <c r="R46" s="133">
        <v>1</v>
      </c>
      <c r="S46" s="134">
        <v>0</v>
      </c>
      <c r="T46" s="186">
        <v>1</v>
      </c>
      <c r="U46" s="135" t="s">
        <v>2</v>
      </c>
      <c r="V46" s="136">
        <v>1</v>
      </c>
      <c r="W46" s="137" t="s">
        <v>2</v>
      </c>
      <c r="X46" s="283"/>
      <c r="Y46" s="285">
        <f t="shared" ref="Y46" si="20">R46*V46</f>
        <v>1</v>
      </c>
      <c r="Z46" s="287"/>
      <c r="AA46" s="101">
        <f t="shared" si="14"/>
        <v>1</v>
      </c>
      <c r="AB46" s="138">
        <f t="shared" si="13"/>
        <v>1</v>
      </c>
      <c r="AC46" s="107"/>
      <c r="AD46" s="108">
        <v>120833.43</v>
      </c>
      <c r="AE46" s="109"/>
      <c r="AF46" s="110">
        <f t="shared" si="3"/>
        <v>120833.43</v>
      </c>
      <c r="AG46" s="160">
        <v>1</v>
      </c>
      <c r="AH46" s="209" t="s">
        <v>142</v>
      </c>
      <c r="AI46" s="222">
        <f t="shared" si="9"/>
        <v>1</v>
      </c>
      <c r="AJ46" s="218">
        <f t="shared" si="4"/>
        <v>0.16552</v>
      </c>
      <c r="AK46" s="204">
        <v>0.16552</v>
      </c>
      <c r="AL46" s="256">
        <f t="shared" si="5"/>
        <v>0.16552</v>
      </c>
      <c r="AM46" s="232">
        <f t="shared" si="6"/>
        <v>0.16552</v>
      </c>
      <c r="AN46" s="241">
        <f>SUM(AF46*AM46)</f>
        <v>20000.349333599999</v>
      </c>
      <c r="AO46" s="242">
        <f t="shared" si="8"/>
        <v>1.6206913733197866E-3</v>
      </c>
      <c r="AP46" s="341"/>
      <c r="AQ46" s="372"/>
      <c r="AR46" s="372"/>
      <c r="AS46" s="372"/>
      <c r="AT46" s="372"/>
      <c r="AU46" s="372"/>
      <c r="AV46" s="372"/>
      <c r="AW46" s="372"/>
      <c r="AX46" s="372"/>
      <c r="AY46" s="372"/>
      <c r="AZ46" s="372"/>
      <c r="BA46" s="349" t="s">
        <v>165</v>
      </c>
      <c r="BB46" s="349">
        <f>(7.4+13.7)*3</f>
        <v>63.300000000000004</v>
      </c>
      <c r="BC46" s="349">
        <f>(9.4+4.6)*3</f>
        <v>42</v>
      </c>
      <c r="BD46" s="349">
        <f>(4.5+3)*3</f>
        <v>22.5</v>
      </c>
      <c r="BE46" s="431">
        <f t="shared" si="19"/>
        <v>127.80000000000001</v>
      </c>
      <c r="BI46" s="349"/>
      <c r="BS46" s="373"/>
      <c r="BT46" s="373"/>
    </row>
    <row r="47" spans="1:72" ht="14.25" hidden="1" customHeight="1" x14ac:dyDescent="0.35">
      <c r="A47" s="26"/>
      <c r="B47" s="27"/>
      <c r="C47" s="46"/>
      <c r="D47" s="26"/>
      <c r="E47" s="27"/>
      <c r="F47" s="27"/>
      <c r="G47" s="27"/>
      <c r="H47" s="27"/>
      <c r="I47" s="346"/>
      <c r="J47" s="345"/>
      <c r="K47" s="345"/>
      <c r="L47" s="347"/>
      <c r="M47" s="345"/>
      <c r="O47" s="348"/>
      <c r="Q47" s="27"/>
      <c r="R47" s="27"/>
      <c r="S47" s="27"/>
      <c r="T47" s="27"/>
      <c r="U47" s="27"/>
      <c r="V47" s="27"/>
      <c r="W47" s="27"/>
      <c r="X47" s="69"/>
      <c r="Y47" s="26"/>
      <c r="Z47" s="26"/>
      <c r="AA47" s="69"/>
      <c r="AB47" s="26"/>
      <c r="AF47" s="345"/>
      <c r="AG47" s="345"/>
      <c r="AH47" s="345"/>
      <c r="AI47" s="346"/>
      <c r="AJ47" s="345"/>
      <c r="AK47" s="345"/>
      <c r="AL47" s="347"/>
      <c r="AM47" s="345"/>
      <c r="AO47" s="348"/>
      <c r="AR47" s="349" t="s">
        <v>277</v>
      </c>
      <c r="AS47" s="372"/>
      <c r="AT47" s="372">
        <v>3013</v>
      </c>
      <c r="AU47" s="372">
        <v>4034</v>
      </c>
      <c r="AV47" s="372">
        <v>7074</v>
      </c>
      <c r="AW47" s="349">
        <v>3014</v>
      </c>
      <c r="AY47" s="372"/>
      <c r="BA47" s="451" t="s">
        <v>166</v>
      </c>
      <c r="BB47" s="451">
        <f>(9.6+9+5)*3</f>
        <v>70.800000000000011</v>
      </c>
      <c r="BC47" s="451">
        <f>(4+2.6)*3</f>
        <v>19.799999999999997</v>
      </c>
      <c r="BD47" s="451">
        <f>(1.4+3)*3</f>
        <v>13.200000000000001</v>
      </c>
      <c r="BE47" s="431">
        <f t="shared" si="19"/>
        <v>103.80000000000001</v>
      </c>
      <c r="BI47" s="351"/>
      <c r="BS47" s="374"/>
      <c r="BT47" s="374"/>
    </row>
    <row r="48" spans="1:72" ht="14.25" hidden="1" customHeight="1" x14ac:dyDescent="0.35">
      <c r="A48" s="521" t="s">
        <v>143</v>
      </c>
      <c r="B48" s="522"/>
      <c r="C48" s="522"/>
      <c r="D48" s="522"/>
      <c r="E48" s="522"/>
      <c r="F48" s="522"/>
      <c r="G48" s="522"/>
      <c r="H48" s="522"/>
      <c r="I48" s="522"/>
      <c r="J48" s="522"/>
      <c r="K48" s="522"/>
      <c r="L48" s="522"/>
      <c r="M48" s="522"/>
      <c r="N48" s="522"/>
      <c r="O48" s="522"/>
      <c r="P48" s="522"/>
      <c r="Q48" s="522"/>
      <c r="R48" s="522"/>
      <c r="S48" s="522"/>
      <c r="T48" s="522"/>
      <c r="U48" s="522"/>
      <c r="V48" s="522"/>
      <c r="W48" s="522"/>
      <c r="X48" s="522"/>
      <c r="Y48" s="522"/>
      <c r="Z48" s="522"/>
      <c r="AA48" s="522"/>
      <c r="AB48" s="522"/>
      <c r="AC48" s="522"/>
      <c r="AD48" s="522"/>
      <c r="AE48" s="522"/>
      <c r="AF48" s="522"/>
      <c r="AG48" s="522"/>
      <c r="AH48" s="522"/>
      <c r="AI48" s="522"/>
      <c r="AJ48" s="522"/>
      <c r="AK48" s="522"/>
      <c r="AL48" s="522"/>
      <c r="AM48" s="522"/>
      <c r="AN48" s="49">
        <f>SUM(AN9:AN46)</f>
        <v>12340627.995465755</v>
      </c>
      <c r="AO48" s="350">
        <f>SUM(AO9:AO46)</f>
        <v>0.99999999999999967</v>
      </c>
      <c r="AP48" s="351"/>
      <c r="AQ48" s="449">
        <v>12340627.991999999</v>
      </c>
      <c r="AR48" s="426">
        <f>AQ48-AN48</f>
        <v>-3.4657567739486694E-3</v>
      </c>
      <c r="AS48" s="372" t="s">
        <v>278</v>
      </c>
      <c r="AT48" s="408">
        <f>AL11*1000</f>
        <v>83686.823999999993</v>
      </c>
      <c r="AU48" s="425">
        <f>AL30*1000</f>
        <v>43954.625000000007</v>
      </c>
      <c r="AV48" s="425">
        <f>AL39</f>
        <v>17975.11</v>
      </c>
      <c r="AW48" s="447">
        <f>AL12</f>
        <v>482.89839347399999</v>
      </c>
      <c r="AX48" s="351" t="s">
        <v>279</v>
      </c>
      <c r="AY48" s="425"/>
      <c r="AZ48" s="349" t="s">
        <v>262</v>
      </c>
      <c r="BA48" s="349" t="s">
        <v>164</v>
      </c>
      <c r="BB48" s="349">
        <f>38.8*4</f>
        <v>155.19999999999999</v>
      </c>
      <c r="BE48" s="431">
        <f t="shared" si="19"/>
        <v>155.19999999999999</v>
      </c>
      <c r="BI48" s="352"/>
    </row>
    <row r="49" spans="1:61" ht="14.25" hidden="1" customHeight="1" x14ac:dyDescent="0.35">
      <c r="A49" s="51"/>
      <c r="B49" s="51"/>
      <c r="C49" s="51"/>
      <c r="D49" s="51"/>
      <c r="E49" s="51"/>
      <c r="F49" s="51"/>
      <c r="G49" s="51"/>
      <c r="H49" s="51"/>
      <c r="I49" s="52"/>
      <c r="J49" s="52"/>
      <c r="K49" s="52"/>
      <c r="L49" s="250"/>
      <c r="M49" s="52"/>
      <c r="N49" s="52"/>
      <c r="P49" s="352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250"/>
      <c r="AM49" s="52"/>
      <c r="AN49" s="52"/>
      <c r="AP49" s="352"/>
      <c r="AQ49" s="352"/>
      <c r="AR49" s="352"/>
      <c r="AS49" s="372" t="s">
        <v>62</v>
      </c>
      <c r="AT49" s="408">
        <f>AT48/8</f>
        <v>10460.852999999999</v>
      </c>
      <c r="AU49" s="372">
        <f>AU48/4</f>
        <v>10988.656250000002</v>
      </c>
      <c r="AV49" s="408">
        <f>AV48/0.7</f>
        <v>25678.728571428575</v>
      </c>
      <c r="AW49" s="349">
        <v>0.05</v>
      </c>
      <c r="AX49" s="352">
        <f>8*AT50*0.05*1000</f>
        <v>4184.3411999999998</v>
      </c>
      <c r="AY49" s="408"/>
      <c r="BA49" s="349" t="s">
        <v>167</v>
      </c>
      <c r="BB49" s="349">
        <f>(15.9+16.18)*4</f>
        <v>128.32</v>
      </c>
      <c r="BC49" s="349">
        <f>(1.58+1.8)*4</f>
        <v>13.52</v>
      </c>
      <c r="BD49" s="349">
        <f>(0.2+0.7)*4</f>
        <v>3.5999999999999996</v>
      </c>
      <c r="BE49" s="431">
        <f t="shared" si="19"/>
        <v>145.44</v>
      </c>
      <c r="BI49" s="375"/>
    </row>
    <row r="50" spans="1:61" hidden="1" x14ac:dyDescent="0.35">
      <c r="A50" s="634" t="s">
        <v>144</v>
      </c>
      <c r="B50" s="636" t="s">
        <v>4</v>
      </c>
      <c r="C50" s="636"/>
      <c r="D50" s="636"/>
      <c r="E50" s="636"/>
      <c r="F50" s="636"/>
      <c r="G50" s="636"/>
      <c r="H50" s="636"/>
      <c r="I50" s="636"/>
      <c r="J50" s="636"/>
      <c r="K50" s="636"/>
      <c r="L50" s="636"/>
      <c r="M50" s="636"/>
      <c r="N50" s="636"/>
      <c r="O50" s="636"/>
      <c r="P50" s="636"/>
      <c r="Q50" s="636"/>
      <c r="R50" s="574" t="s">
        <v>145</v>
      </c>
      <c r="T50" s="627" t="s">
        <v>146</v>
      </c>
      <c r="U50" s="627"/>
      <c r="V50" s="627"/>
      <c r="W50" s="627"/>
      <c r="X50" s="627"/>
      <c r="Y50" s="627"/>
      <c r="AA50" s="304" t="s">
        <v>147</v>
      </c>
      <c r="AB50" s="305"/>
      <c r="AC50" s="305"/>
      <c r="AD50" s="305"/>
      <c r="AE50" s="304" t="s">
        <v>148</v>
      </c>
      <c r="AF50" s="305"/>
      <c r="AG50" s="305"/>
      <c r="AH50" s="305"/>
      <c r="AI50" s="306"/>
      <c r="AJ50" s="304" t="s">
        <v>149</v>
      </c>
      <c r="AK50" s="305"/>
      <c r="AL50" s="305"/>
      <c r="AM50" s="306"/>
      <c r="AN50" s="304" t="s">
        <v>297</v>
      </c>
      <c r="AO50" s="305"/>
      <c r="AP50" s="306"/>
      <c r="AQ50" s="375"/>
      <c r="AR50" s="375"/>
      <c r="AS50" s="373" t="s">
        <v>63</v>
      </c>
      <c r="AT50" s="373">
        <f>AT49/1000</f>
        <v>10.460852999999998</v>
      </c>
      <c r="AU50" s="373">
        <f>AU49/1000</f>
        <v>10.988656250000002</v>
      </c>
      <c r="AV50" s="373">
        <f>AV49/1000</f>
        <v>25.678728571428575</v>
      </c>
      <c r="AW50" s="448">
        <f>(AW48/(AW49*8))/1000</f>
        <v>1.2072459836849998</v>
      </c>
      <c r="AX50" s="375"/>
      <c r="AY50" s="373"/>
      <c r="BA50" s="451" t="s">
        <v>168</v>
      </c>
      <c r="BB50" s="451">
        <f>14*4</f>
        <v>56</v>
      </c>
      <c r="BC50" s="451"/>
      <c r="BD50" s="451"/>
      <c r="BE50" s="431">
        <f t="shared" si="19"/>
        <v>56</v>
      </c>
      <c r="BI50" s="376"/>
    </row>
    <row r="51" spans="1:61" hidden="1" x14ac:dyDescent="0.35">
      <c r="A51" s="635"/>
      <c r="B51" s="637"/>
      <c r="C51" s="637"/>
      <c r="D51" s="637"/>
      <c r="E51" s="637"/>
      <c r="F51" s="637"/>
      <c r="G51" s="637"/>
      <c r="H51" s="637"/>
      <c r="I51" s="637"/>
      <c r="J51" s="637"/>
      <c r="K51" s="637"/>
      <c r="L51" s="637"/>
      <c r="M51" s="637"/>
      <c r="N51" s="637"/>
      <c r="O51" s="637"/>
      <c r="P51" s="637"/>
      <c r="Q51" s="637"/>
      <c r="R51" s="575"/>
      <c r="S51" s="53"/>
      <c r="T51" s="627"/>
      <c r="U51" s="627"/>
      <c r="V51" s="627"/>
      <c r="W51" s="627"/>
      <c r="X51" s="627"/>
      <c r="Y51" s="627"/>
      <c r="AA51" s="577" t="s">
        <v>150</v>
      </c>
      <c r="AB51" s="578"/>
      <c r="AC51" s="578"/>
      <c r="AD51" s="579"/>
      <c r="AE51" s="577" t="s">
        <v>151</v>
      </c>
      <c r="AF51" s="578"/>
      <c r="AG51" s="578"/>
      <c r="AH51" s="578"/>
      <c r="AI51" s="579"/>
      <c r="AJ51" s="577" t="s">
        <v>152</v>
      </c>
      <c r="AK51" s="578"/>
      <c r="AL51" s="578"/>
      <c r="AM51" s="579"/>
      <c r="AN51" s="577" t="s">
        <v>298</v>
      </c>
      <c r="AO51" s="578"/>
      <c r="AP51" s="579"/>
      <c r="AQ51" s="376"/>
      <c r="AR51" s="376"/>
      <c r="AS51"/>
      <c r="AT51" s="438"/>
      <c r="AU51" s="333"/>
      <c r="AV51"/>
      <c r="AW51"/>
      <c r="AX51"/>
      <c r="AY51"/>
      <c r="AZ51" s="376"/>
      <c r="BA51" s="376" t="s">
        <v>195</v>
      </c>
      <c r="BB51" s="376">
        <f>SUM(BB45:BB50)</f>
        <v>477.21999999999997</v>
      </c>
      <c r="BC51" s="376">
        <f t="shared" ref="BC51:BD51" si="21">SUM(BC45:BC50)</f>
        <v>92.11999999999999</v>
      </c>
      <c r="BD51" s="376">
        <f t="shared" si="21"/>
        <v>39.900000000000006</v>
      </c>
      <c r="BE51" s="431">
        <f t="shared" si="19"/>
        <v>609.2399999999999</v>
      </c>
      <c r="BI51" s="349"/>
    </row>
    <row r="52" spans="1:61" ht="24" hidden="1" customHeight="1" x14ac:dyDescent="0.35">
      <c r="A52" s="307"/>
      <c r="B52" s="633"/>
      <c r="C52" s="633"/>
      <c r="D52" s="633"/>
      <c r="E52" s="633"/>
      <c r="F52" s="633"/>
      <c r="G52" s="633"/>
      <c r="H52" s="633"/>
      <c r="I52" s="633"/>
      <c r="J52" s="633"/>
      <c r="K52" s="633"/>
      <c r="L52" s="633"/>
      <c r="M52" s="633"/>
      <c r="N52" s="633"/>
      <c r="O52" s="633"/>
      <c r="P52" s="633"/>
      <c r="Q52" s="633"/>
      <c r="R52" s="308"/>
      <c r="S52" s="53"/>
      <c r="T52" s="628" t="s">
        <v>280</v>
      </c>
      <c r="U52" s="629"/>
      <c r="V52" s="629"/>
      <c r="W52" s="629"/>
      <c r="X52" s="630">
        <f>AN9+AN10</f>
        <v>155752.94716800001</v>
      </c>
      <c r="Y52" s="631"/>
      <c r="AA52" s="462" t="s">
        <v>154</v>
      </c>
      <c r="AB52" s="463"/>
      <c r="AC52" s="463"/>
      <c r="AD52" s="464"/>
      <c r="AE52" s="465" t="s">
        <v>154</v>
      </c>
      <c r="AF52" s="463"/>
      <c r="AG52" s="463"/>
      <c r="AH52" s="463"/>
      <c r="AI52" s="464"/>
      <c r="AJ52" s="462" t="s">
        <v>154</v>
      </c>
      <c r="AK52" s="463"/>
      <c r="AL52" s="463"/>
      <c r="AM52" s="464"/>
      <c r="AN52" s="462" t="s">
        <v>154</v>
      </c>
      <c r="AO52" s="466"/>
      <c r="AP52" s="467"/>
      <c r="BA52" s="349" t="s">
        <v>281</v>
      </c>
      <c r="BB52" s="349">
        <f>BB44*2</f>
        <v>871.30000000000018</v>
      </c>
      <c r="BC52" s="349">
        <f t="shared" ref="BC52:BD52" si="22">BC44*2</f>
        <v>569.18000000000006</v>
      </c>
      <c r="BD52" s="349">
        <f t="shared" si="22"/>
        <v>126.92000000000002</v>
      </c>
      <c r="BE52" s="431">
        <f t="shared" si="19"/>
        <v>1567.4000000000003</v>
      </c>
    </row>
    <row r="53" spans="1:61" ht="24" hidden="1" customHeight="1" x14ac:dyDescent="0.35">
      <c r="A53" s="307"/>
      <c r="B53" s="633"/>
      <c r="C53" s="633"/>
      <c r="D53" s="633"/>
      <c r="E53" s="633"/>
      <c r="F53" s="633"/>
      <c r="G53" s="633"/>
      <c r="H53" s="633"/>
      <c r="I53" s="633"/>
      <c r="J53" s="633"/>
      <c r="K53" s="633"/>
      <c r="L53" s="633"/>
      <c r="M53" s="633"/>
      <c r="N53" s="633"/>
      <c r="O53" s="633"/>
      <c r="P53" s="633"/>
      <c r="Q53" s="633"/>
      <c r="R53" s="312"/>
      <c r="S53" s="53"/>
      <c r="T53" s="622" t="s">
        <v>282</v>
      </c>
      <c r="U53" s="623"/>
      <c r="V53" s="623"/>
      <c r="W53" s="623"/>
      <c r="X53" s="624">
        <f>AN18+AN22+AN23+AN24+AN27+AN28+AN31+AN33+AN36+AN37+AN38</f>
        <v>3997415.6889155428</v>
      </c>
      <c r="Y53" s="625"/>
      <c r="AA53" s="468"/>
      <c r="AB53" s="463"/>
      <c r="AC53" s="463"/>
      <c r="AD53" s="464"/>
      <c r="AE53" s="463"/>
      <c r="AF53" s="463"/>
      <c r="AG53" s="463"/>
      <c r="AH53" s="463"/>
      <c r="AI53" s="464"/>
      <c r="AJ53" s="468"/>
      <c r="AK53" s="463"/>
      <c r="AL53" s="463"/>
      <c r="AM53" s="464"/>
      <c r="AN53" s="469"/>
      <c r="AO53" s="466"/>
      <c r="AP53" s="467"/>
      <c r="AQ53" s="447"/>
      <c r="AR53" s="458"/>
      <c r="BA53" s="349" t="s">
        <v>283</v>
      </c>
      <c r="BB53" s="349">
        <f>BB35+BB51+BB52</f>
        <v>1775.64</v>
      </c>
      <c r="BC53" s="349">
        <f t="shared" ref="BC53:BD53" si="23">BC35+BC51+BC52</f>
        <v>674.5</v>
      </c>
      <c r="BD53" s="349">
        <f t="shared" si="23"/>
        <v>166.82000000000002</v>
      </c>
      <c r="BE53" s="431">
        <f t="shared" si="19"/>
        <v>2616.9600000000005</v>
      </c>
    </row>
    <row r="54" spans="1:61" ht="24" hidden="1" customHeight="1" x14ac:dyDescent="0.35">
      <c r="A54" s="314"/>
      <c r="B54" s="626" t="s">
        <v>284</v>
      </c>
      <c r="C54" s="626"/>
      <c r="D54" s="626"/>
      <c r="E54" s="626"/>
      <c r="F54" s="626"/>
      <c r="G54" s="626"/>
      <c r="H54" s="626"/>
      <c r="I54" s="626"/>
      <c r="J54" s="626"/>
      <c r="K54" s="626"/>
      <c r="L54" s="626"/>
      <c r="M54" s="626"/>
      <c r="N54" s="626"/>
      <c r="O54" s="626"/>
      <c r="P54" s="626"/>
      <c r="Q54" s="626"/>
      <c r="R54" s="312"/>
      <c r="S54" s="59"/>
      <c r="T54" s="622" t="s">
        <v>285</v>
      </c>
      <c r="U54" s="623"/>
      <c r="V54" s="623"/>
      <c r="W54" s="623"/>
      <c r="X54" s="624">
        <f>AN11+AN12+AN13+AN14+AN15+AN16+AN17+AN19+AN20+AN21+AN25+AN26+AN29+AN30+AN32+AN34+AN35+AN39+AN40</f>
        <v>7701811.2836486092</v>
      </c>
      <c r="Y54" s="625"/>
      <c r="Z54" s="353"/>
      <c r="AA54" s="470"/>
      <c r="AB54" s="471"/>
      <c r="AC54" s="471"/>
      <c r="AD54" s="472"/>
      <c r="AE54" s="604"/>
      <c r="AF54" s="604"/>
      <c r="AG54" s="604"/>
      <c r="AH54" s="604"/>
      <c r="AI54" s="605"/>
      <c r="AJ54" s="468"/>
      <c r="AK54" s="463"/>
      <c r="AL54" s="463"/>
      <c r="AM54" s="464"/>
      <c r="AN54" s="469"/>
      <c r="AO54" s="466"/>
      <c r="AP54" s="467"/>
    </row>
    <row r="55" spans="1:61" ht="24" hidden="1" customHeight="1" x14ac:dyDescent="0.35">
      <c r="A55" s="318"/>
      <c r="B55" s="632"/>
      <c r="C55" s="632"/>
      <c r="D55" s="632"/>
      <c r="E55" s="632"/>
      <c r="F55" s="632"/>
      <c r="G55" s="632"/>
      <c r="H55" s="632"/>
      <c r="I55" s="632"/>
      <c r="J55" s="632"/>
      <c r="K55" s="632"/>
      <c r="L55" s="632"/>
      <c r="M55" s="632"/>
      <c r="N55" s="632"/>
      <c r="O55" s="632"/>
      <c r="P55" s="632"/>
      <c r="Q55" s="632"/>
      <c r="R55" s="319"/>
      <c r="S55" s="59"/>
      <c r="T55" s="616" t="s">
        <v>286</v>
      </c>
      <c r="U55" s="617"/>
      <c r="V55" s="617"/>
      <c r="W55" s="617"/>
      <c r="X55" s="618">
        <f>AN41+AN42+AN43+AN44+AN45+AN46</f>
        <v>485648.07573360007</v>
      </c>
      <c r="Y55" s="619"/>
      <c r="Z55" s="353"/>
      <c r="AA55" s="473"/>
      <c r="AB55" s="474"/>
      <c r="AC55" s="474"/>
      <c r="AD55" s="474"/>
      <c r="AE55" s="606"/>
      <c r="AF55" s="607"/>
      <c r="AG55" s="607"/>
      <c r="AH55" s="607"/>
      <c r="AI55" s="608"/>
      <c r="AJ55" s="475"/>
      <c r="AK55" s="476"/>
      <c r="AL55" s="476"/>
      <c r="AM55" s="477"/>
      <c r="AN55" s="478"/>
      <c r="AO55" s="479"/>
      <c r="AP55" s="480"/>
    </row>
    <row r="56" spans="1:61" hidden="1" x14ac:dyDescent="0.35">
      <c r="A56" s="55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251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AI56" s="56"/>
      <c r="AJ56" s="56"/>
      <c r="AK56" s="56"/>
      <c r="AL56" s="251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</row>
    <row r="57" spans="1:61" x14ac:dyDescent="0.35">
      <c r="A57" s="55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251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AI57" s="56"/>
      <c r="AJ57" s="56"/>
      <c r="AK57" s="56"/>
      <c r="AL57" s="251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</row>
    <row r="58" spans="1:61" x14ac:dyDescent="0.35">
      <c r="A58" s="55"/>
      <c r="B58" s="56"/>
      <c r="C58" s="56"/>
      <c r="D58" s="56"/>
      <c r="E58" s="56"/>
      <c r="F58" s="56"/>
      <c r="G58" s="363"/>
      <c r="H58" s="56"/>
      <c r="I58" s="56"/>
      <c r="J58" s="56"/>
      <c r="K58" s="56"/>
      <c r="L58" s="251"/>
      <c r="M58" s="56"/>
      <c r="N58" s="56"/>
      <c r="O58" s="56"/>
      <c r="P58" s="56"/>
      <c r="Q58" s="56"/>
      <c r="R58" s="56"/>
      <c r="S58" s="363"/>
      <c r="T58" s="627" t="s">
        <v>146</v>
      </c>
      <c r="U58" s="627"/>
      <c r="V58" s="627"/>
      <c r="W58" s="627"/>
      <c r="X58" s="627"/>
      <c r="Y58" s="627"/>
      <c r="AH58" s="56"/>
      <c r="AI58" s="56"/>
      <c r="AJ58" s="56"/>
      <c r="AK58" s="56"/>
      <c r="AL58" s="251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</row>
    <row r="59" spans="1:61" x14ac:dyDescent="0.35">
      <c r="G59" s="364"/>
      <c r="S59" s="364"/>
      <c r="T59" s="627"/>
      <c r="U59" s="627"/>
      <c r="V59" s="627"/>
      <c r="W59" s="627"/>
      <c r="X59" s="627"/>
      <c r="Y59" s="627"/>
      <c r="AT59" s="349" t="s">
        <v>227</v>
      </c>
      <c r="AU59" s="349" t="s">
        <v>228</v>
      </c>
      <c r="AV59" s="349" t="s">
        <v>220</v>
      </c>
      <c r="BD59" s="349" t="s">
        <v>287</v>
      </c>
    </row>
    <row r="60" spans="1:61" x14ac:dyDescent="0.35">
      <c r="G60" s="356"/>
      <c r="S60" s="356"/>
      <c r="T60" s="628" t="s">
        <v>280</v>
      </c>
      <c r="U60" s="629"/>
      <c r="V60" s="629"/>
      <c r="W60" s="629"/>
      <c r="X60" s="630">
        <v>142234.87</v>
      </c>
      <c r="Y60" s="631"/>
      <c r="AR60" s="349" t="s">
        <v>288</v>
      </c>
      <c r="AS60" s="349">
        <v>960</v>
      </c>
      <c r="BC60" s="349">
        <v>519.79</v>
      </c>
      <c r="BD60" s="349" t="e">
        <f>BC60-#REF!</f>
        <v>#REF!</v>
      </c>
    </row>
    <row r="61" spans="1:61" x14ac:dyDescent="0.35">
      <c r="G61" s="356"/>
      <c r="S61" s="356"/>
      <c r="T61" s="622" t="s">
        <v>282</v>
      </c>
      <c r="U61" s="623"/>
      <c r="V61" s="623"/>
      <c r="W61" s="623"/>
      <c r="X61" s="624">
        <v>3825190.18</v>
      </c>
      <c r="Y61" s="625"/>
      <c r="AR61" s="349" t="s">
        <v>289</v>
      </c>
      <c r="AU61" s="349">
        <v>12</v>
      </c>
      <c r="BC61" s="349" t="e">
        <f>BD60*2*2</f>
        <v>#REF!</v>
      </c>
    </row>
    <row r="62" spans="1:61" x14ac:dyDescent="0.35">
      <c r="G62" s="356"/>
      <c r="S62" s="356"/>
      <c r="T62" s="622" t="s">
        <v>285</v>
      </c>
      <c r="U62" s="623"/>
      <c r="V62" s="623"/>
      <c r="W62" s="623"/>
      <c r="X62" s="624">
        <v>7802316.8399999999</v>
      </c>
      <c r="Y62" s="625"/>
      <c r="BB62" s="349" t="s">
        <v>290</v>
      </c>
      <c r="BC62" s="349" t="e">
        <f>BC61+#REF!</f>
        <v>#REF!</v>
      </c>
    </row>
    <row r="63" spans="1:61" x14ac:dyDescent="0.35">
      <c r="G63" s="356"/>
      <c r="S63" s="356"/>
      <c r="T63" s="616" t="s">
        <v>286</v>
      </c>
      <c r="U63" s="617"/>
      <c r="V63" s="617"/>
      <c r="W63" s="617"/>
      <c r="X63" s="618">
        <v>513314.57</v>
      </c>
      <c r="Y63" s="619"/>
      <c r="AS63" s="349">
        <v>972</v>
      </c>
      <c r="BA63" s="349" t="s">
        <v>237</v>
      </c>
      <c r="BB63" s="349">
        <v>0.5</v>
      </c>
      <c r="BC63" s="349" t="e">
        <f>BC62*BB63</f>
        <v>#REF!</v>
      </c>
      <c r="BD63" s="423">
        <f>BC60*BB63*2</f>
        <v>519.79</v>
      </c>
    </row>
    <row r="64" spans="1:61" x14ac:dyDescent="0.35">
      <c r="G64" s="356"/>
      <c r="S64" s="356"/>
      <c r="X64" s="620">
        <f>SUM(X60:Y63)</f>
        <v>12283056.460000001</v>
      </c>
      <c r="Y64" s="620"/>
      <c r="BA64" s="349" t="s">
        <v>238</v>
      </c>
      <c r="BB64" s="349">
        <v>0.46</v>
      </c>
      <c r="BC64" s="423" t="e">
        <f>BC62*BB64</f>
        <v>#REF!</v>
      </c>
      <c r="BD64" s="423">
        <f>BC60*BB64*2</f>
        <v>478.20679999999999</v>
      </c>
    </row>
    <row r="65" spans="7:56" x14ac:dyDescent="0.35">
      <c r="G65" s="356"/>
      <c r="S65" s="356"/>
      <c r="X65" s="620">
        <v>12618382.27</v>
      </c>
      <c r="Y65" s="620"/>
      <c r="BA65" s="349" t="s">
        <v>239</v>
      </c>
      <c r="BB65" s="349">
        <v>0.04</v>
      </c>
      <c r="BC65" s="423" t="e">
        <f>BC62*BB65</f>
        <v>#REF!</v>
      </c>
      <c r="BD65" s="423">
        <f>BC60*BB65*2</f>
        <v>41.583199999999998</v>
      </c>
    </row>
    <row r="66" spans="7:56" x14ac:dyDescent="0.35">
      <c r="G66" s="356"/>
      <c r="S66" s="356"/>
      <c r="X66" s="621">
        <f>X65-X64</f>
        <v>335325.80999999866</v>
      </c>
      <c r="Y66" s="621"/>
      <c r="BC66" s="349" t="e">
        <f>SUM(BC63:BC65)</f>
        <v>#REF!</v>
      </c>
    </row>
    <row r="67" spans="7:56" x14ac:dyDescent="0.35">
      <c r="G67" s="356"/>
      <c r="S67" s="356"/>
      <c r="Y67" s="459">
        <f>X66/X64</f>
        <v>2.7299867186314199E-2</v>
      </c>
    </row>
    <row r="68" spans="7:56" x14ac:dyDescent="0.35">
      <c r="G68" s="356"/>
      <c r="S68" s="356"/>
      <c r="AS68" s="378" t="s">
        <v>199</v>
      </c>
      <c r="AT68" s="357"/>
      <c r="AU68" s="334"/>
      <c r="AV68" s="334"/>
      <c r="AW68" s="334"/>
      <c r="AX68" s="334"/>
      <c r="AY68" s="373"/>
    </row>
    <row r="69" spans="7:56" x14ac:dyDescent="0.35">
      <c r="G69" s="356"/>
      <c r="S69" s="356"/>
      <c r="AS69" s="378" t="s">
        <v>201</v>
      </c>
      <c r="AT69" s="438">
        <f>(0.8457+0.9357)/2</f>
        <v>0.89070000000000005</v>
      </c>
      <c r="AU69" s="334"/>
      <c r="AV69" s="374"/>
      <c r="AW69" s="374"/>
      <c r="AX69" s="374"/>
      <c r="AY69" s="374"/>
      <c r="BA69" s="424" t="s">
        <v>291</v>
      </c>
      <c r="BB69" s="424" t="s">
        <v>237</v>
      </c>
      <c r="BC69" s="424" t="s">
        <v>238</v>
      </c>
      <c r="BD69" s="424" t="s">
        <v>239</v>
      </c>
    </row>
    <row r="70" spans="7:56" x14ac:dyDescent="0.35">
      <c r="G70" s="356"/>
      <c r="S70" s="356"/>
      <c r="AR70" s="334"/>
      <c r="AS70" t="s">
        <v>184</v>
      </c>
      <c r="AT70" s="437">
        <f>(0.1225+0.0522)/2</f>
        <v>8.7349999999999997E-2</v>
      </c>
      <c r="AU70" s="334"/>
      <c r="AV70" s="334"/>
      <c r="AW70" s="334"/>
      <c r="AX70" s="334"/>
      <c r="AY70" s="334"/>
      <c r="BA70" s="424">
        <v>2021</v>
      </c>
      <c r="BB70" s="424">
        <v>569.85</v>
      </c>
      <c r="BC70" s="424">
        <v>308.45999999999998</v>
      </c>
      <c r="BD70" s="424">
        <v>71.16</v>
      </c>
    </row>
    <row r="71" spans="7:56" x14ac:dyDescent="0.35">
      <c r="G71" s="356"/>
      <c r="S71" s="356"/>
      <c r="AS71" t="s">
        <v>185</v>
      </c>
      <c r="AT71" s="437">
        <f>(0.0319+0.0121)/2</f>
        <v>2.1999999999999999E-2</v>
      </c>
      <c r="AU71" s="334"/>
      <c r="AV71" s="334"/>
      <c r="AW71" s="334"/>
      <c r="AX71" s="334"/>
      <c r="AY71" s="334"/>
      <c r="BA71" s="424" t="s">
        <v>292</v>
      </c>
      <c r="BB71" s="349">
        <v>1.2</v>
      </c>
      <c r="BC71" s="349">
        <f>2.9+2.7</f>
        <v>5.6</v>
      </c>
      <c r="BD71" s="349">
        <v>0.2</v>
      </c>
    </row>
    <row r="72" spans="7:56" x14ac:dyDescent="0.35">
      <c r="G72" s="356"/>
      <c r="S72" s="356"/>
      <c r="AR72" s="334"/>
      <c r="AS72" s="334"/>
      <c r="AT72" s="334"/>
      <c r="AU72" s="334"/>
      <c r="AV72" s="333"/>
      <c r="AW72" t="s">
        <v>200</v>
      </c>
      <c r="AX72"/>
      <c r="AY72" s="334"/>
      <c r="BA72" s="424" t="s">
        <v>163</v>
      </c>
      <c r="BB72" s="349">
        <v>1</v>
      </c>
    </row>
    <row r="73" spans="7:56" x14ac:dyDescent="0.35">
      <c r="G73" s="356"/>
      <c r="S73" s="356"/>
      <c r="AR73" s="334"/>
      <c r="AS73" s="334"/>
      <c r="AT73" s="334"/>
      <c r="AU73" s="334"/>
      <c r="AV73" s="333"/>
      <c r="AW73" t="s">
        <v>201</v>
      </c>
      <c r="AX73" s="437">
        <f>(0.7777+0.8184)/2</f>
        <v>0.79804999999999993</v>
      </c>
      <c r="AY73" s="334"/>
      <c r="BA73" s="424" t="s">
        <v>293</v>
      </c>
      <c r="BB73" s="349">
        <f>13.3+13.6</f>
        <v>26.9</v>
      </c>
      <c r="BD73" s="349">
        <f>1.4+1.7</f>
        <v>3.0999999999999996</v>
      </c>
    </row>
    <row r="74" spans="7:56" x14ac:dyDescent="0.35">
      <c r="G74" s="356"/>
      <c r="S74" s="356"/>
      <c r="AR74" s="334"/>
      <c r="AS74" s="334"/>
      <c r="AT74" s="334"/>
      <c r="AU74" s="334"/>
      <c r="AV74"/>
      <c r="AW74" t="s">
        <v>184</v>
      </c>
      <c r="AX74" s="437">
        <f>(0.1647+0.1437)/2</f>
        <v>0.1542</v>
      </c>
      <c r="AY74" s="334"/>
      <c r="BA74" s="424" t="s">
        <v>253</v>
      </c>
      <c r="BB74" s="349">
        <v>0.4</v>
      </c>
      <c r="BD74" s="349">
        <v>4.5999999999999996</v>
      </c>
    </row>
    <row r="75" spans="7:56" x14ac:dyDescent="0.35">
      <c r="G75" s="356"/>
      <c r="S75" s="356"/>
      <c r="AR75" s="334"/>
      <c r="AS75" s="334"/>
      <c r="AT75" s="334"/>
      <c r="AU75" s="334"/>
      <c r="AV75"/>
      <c r="AW75" t="s">
        <v>185</v>
      </c>
      <c r="AX75" s="437">
        <f>(0.0576+0.0379)/2</f>
        <v>4.7750000000000001E-2</v>
      </c>
      <c r="AY75" s="334"/>
      <c r="BB75" s="349">
        <f>SUM(BB70:BB74)</f>
        <v>599.35</v>
      </c>
      <c r="BC75" s="349">
        <f>SUM(BC70:BC74)</f>
        <v>314.06</v>
      </c>
      <c r="BD75" s="349">
        <f>SUM(BD70:BD74)</f>
        <v>79.059999999999988</v>
      </c>
    </row>
    <row r="76" spans="7:56" x14ac:dyDescent="0.35">
      <c r="G76" s="356"/>
      <c r="S76" s="356"/>
    </row>
    <row r="77" spans="7:56" x14ac:dyDescent="0.35">
      <c r="G77" s="356"/>
      <c r="S77" s="356"/>
    </row>
    <row r="78" spans="7:56" x14ac:dyDescent="0.35">
      <c r="G78" s="356"/>
      <c r="S78" s="356"/>
      <c r="BA78" s="349" t="s">
        <v>294</v>
      </c>
    </row>
    <row r="79" spans="7:56" x14ac:dyDescent="0.35">
      <c r="BA79" s="349" t="s">
        <v>295</v>
      </c>
    </row>
    <row r="80" spans="7:56" x14ac:dyDescent="0.35">
      <c r="BA80" s="349" t="s">
        <v>163</v>
      </c>
      <c r="BB80" s="349">
        <v>0.2</v>
      </c>
    </row>
  </sheetData>
  <mergeCells count="81">
    <mergeCell ref="Q5:AP5"/>
    <mergeCell ref="I7:J7"/>
    <mergeCell ref="K7:K8"/>
    <mergeCell ref="L7:L8"/>
    <mergeCell ref="M7:M8"/>
    <mergeCell ref="N7:O7"/>
    <mergeCell ref="E5:P5"/>
    <mergeCell ref="E6:H6"/>
    <mergeCell ref="E7:G7"/>
    <mergeCell ref="H7:H8"/>
    <mergeCell ref="I6:M6"/>
    <mergeCell ref="N6:P6"/>
    <mergeCell ref="AM7:AM8"/>
    <mergeCell ref="AN7:AO7"/>
    <mergeCell ref="AI6:AM6"/>
    <mergeCell ref="AN6:AP6"/>
    <mergeCell ref="A1:AP1"/>
    <mergeCell ref="A2:AP2"/>
    <mergeCell ref="A3:AP3"/>
    <mergeCell ref="Y4:Z4"/>
    <mergeCell ref="AO4:AP4"/>
    <mergeCell ref="A33:A35"/>
    <mergeCell ref="AF7:AF8"/>
    <mergeCell ref="AI7:AJ7"/>
    <mergeCell ref="AK7:AK8"/>
    <mergeCell ref="AL7:AL8"/>
    <mergeCell ref="B7:C8"/>
    <mergeCell ref="D7:D8"/>
    <mergeCell ref="Q7:S7"/>
    <mergeCell ref="T7:T8"/>
    <mergeCell ref="U7:W7"/>
    <mergeCell ref="X7:AA7"/>
    <mergeCell ref="AB7:AB8"/>
    <mergeCell ref="AC7:AE7"/>
    <mergeCell ref="A6:A8"/>
    <mergeCell ref="B6:D6"/>
    <mergeCell ref="Q6:T6"/>
    <mergeCell ref="A9:A17"/>
    <mergeCell ref="A18:A21"/>
    <mergeCell ref="A22:A26"/>
    <mergeCell ref="A27:A30"/>
    <mergeCell ref="A31:A32"/>
    <mergeCell ref="A36:A40"/>
    <mergeCell ref="A41:A46"/>
    <mergeCell ref="A48:AM48"/>
    <mergeCell ref="A50:A51"/>
    <mergeCell ref="B50:Q51"/>
    <mergeCell ref="R50:R51"/>
    <mergeCell ref="T50:Y51"/>
    <mergeCell ref="AA51:AD51"/>
    <mergeCell ref="AE51:AI51"/>
    <mergeCell ref="AJ51:AM51"/>
    <mergeCell ref="AN51:AP51"/>
    <mergeCell ref="B52:Q52"/>
    <mergeCell ref="T52:W52"/>
    <mergeCell ref="X52:Y52"/>
    <mergeCell ref="B53:Q53"/>
    <mergeCell ref="T53:W53"/>
    <mergeCell ref="X53:Y53"/>
    <mergeCell ref="X65:Y65"/>
    <mergeCell ref="X66:Y66"/>
    <mergeCell ref="T62:W62"/>
    <mergeCell ref="X62:Y62"/>
    <mergeCell ref="B54:Q54"/>
    <mergeCell ref="T54:W54"/>
    <mergeCell ref="X54:Y54"/>
    <mergeCell ref="T58:Y59"/>
    <mergeCell ref="T60:W60"/>
    <mergeCell ref="X60:Y60"/>
    <mergeCell ref="T61:W61"/>
    <mergeCell ref="X61:Y61"/>
    <mergeCell ref="B55:Q55"/>
    <mergeCell ref="T55:W55"/>
    <mergeCell ref="X55:Y55"/>
    <mergeCell ref="U6:AF6"/>
    <mergeCell ref="AG6:AH7"/>
    <mergeCell ref="T63:W63"/>
    <mergeCell ref="X63:Y63"/>
    <mergeCell ref="X64:Y64"/>
    <mergeCell ref="AE54:AI54"/>
    <mergeCell ref="AE55:AI55"/>
  </mergeCells>
  <conditionalFormatting sqref="Q46:S46 X9:Z46 Q9:S44">
    <cfRule type="cellIs" dxfId="3" priority="4" stopIfTrue="1" operator="equal">
      <formula>0</formula>
    </cfRule>
  </conditionalFormatting>
  <conditionalFormatting sqref="Q45:S45">
    <cfRule type="cellIs" dxfId="2" priority="3" stopIfTrue="1" operator="equal">
      <formula>0</formula>
    </cfRule>
  </conditionalFormatting>
  <conditionalFormatting sqref="E46:G46 E9:G44">
    <cfRule type="cellIs" dxfId="1" priority="2" stopIfTrue="1" operator="equal">
      <formula>0</formula>
    </cfRule>
  </conditionalFormatting>
  <conditionalFormatting sqref="E45:G45">
    <cfRule type="cellIs" dxfId="0" priority="1" stopIfTrue="1" operator="equal">
      <formula>0</formula>
    </cfRule>
  </conditionalFormatting>
  <pageMargins left="0.78740157480314965" right="0.31496062992125984" top="0.55118110236220474" bottom="0.55118110236220474" header="0.31496062992125984" footer="0.31496062992125984"/>
  <pageSetup paperSize="8" scale="91" orientation="landscape" r:id="rId1"/>
  <headerFooter>
    <oddFooter>&amp;RPAGE:  1  OF  RMU 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62036FF67A5D43BF6E290DEB360352" ma:contentTypeVersion="13" ma:contentTypeDescription="Create a new document." ma:contentTypeScope="" ma:versionID="807eb2660dd8ce2169584ac47dcb7049">
  <xsd:schema xmlns:xsd="http://www.w3.org/2001/XMLSchema" xmlns:xs="http://www.w3.org/2001/XMLSchema" xmlns:p="http://schemas.microsoft.com/office/2006/metadata/properties" xmlns:ns2="4e744003-367c-4be8-bc40-2385cb622540" xmlns:ns3="0930cf9b-719b-4120-8db4-f84070340397" targetNamespace="http://schemas.microsoft.com/office/2006/metadata/properties" ma:root="true" ma:fieldsID="0ff3b9ec0591c1e5bf852b570c8721a7" ns2:_="" ns3:_="">
    <xsd:import namespace="4e744003-367c-4be8-bc40-2385cb622540"/>
    <xsd:import namespace="0930cf9b-719b-4120-8db4-f84070340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744003-367c-4be8-bc40-2385cb6225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30cf9b-719b-4120-8db4-f84070340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36B5BB-40B4-44A9-A6C4-3327C90464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BF2E3E-9F93-4F52-9065-0F9E3696C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744003-367c-4be8-bc40-2385cb622540"/>
    <ds:schemaRef ds:uri="0930cf9b-719b-4120-8db4-f84070340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C9C36-FF90-4A31-9F49-FA815B09BBA4}">
  <ds:schemaRefs>
    <ds:schemaRef ds:uri="c6662f7b-fabe-449e-807e-2586721632af"/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3f3f1c07-7d3b-402a-b4aa-bff41292616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B12</vt:lpstr>
      <vt:lpstr>B13</vt:lpstr>
      <vt:lpstr>ICA COMPARISON NIAH</vt:lpstr>
      <vt:lpstr>ICA COMPARISON MIRI</vt:lpstr>
      <vt:lpstr>'B12'!Print_Area</vt:lpstr>
      <vt:lpstr>'B13'!Print_Area</vt:lpstr>
      <vt:lpstr>'ICA COMPARISON MIRI'!Print_Area</vt:lpstr>
      <vt:lpstr>'ICA COMPARISON NIAH'!Print_Area</vt:lpstr>
      <vt:lpstr>'B12'!Print_Titles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Chia Heok Guan</dc:creator>
  <cp:keywords/>
  <dc:description/>
  <cp:lastModifiedBy>Mohan Kumar</cp:lastModifiedBy>
  <cp:revision/>
  <cp:lastPrinted>2021-12-15T05:37:16Z</cp:lastPrinted>
  <dcterms:created xsi:type="dcterms:W3CDTF">2017-04-17T00:16:29Z</dcterms:created>
  <dcterms:modified xsi:type="dcterms:W3CDTF">2022-10-06T17:33:38Z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0x010100D262036FF67A5D43BF6E290DEB360352</vt:lpwstr>
  </property>
</Properties>
</file>