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hidePivotFieldList="1"/>
  <bookViews>
    <workbookView xWindow="0" yWindow="0" windowWidth="20730" windowHeight="11760" tabRatio="866" activeTab="6"/>
  </bookViews>
  <sheets>
    <sheet name="Bond price,Bond yield,Duration" sheetId="2" r:id="rId1"/>
    <sheet name="Yield Curve" sheetId="3" r:id="rId2"/>
    <sheet name="Treasury YC" sheetId="4" r:id="rId3"/>
    <sheet name="Basis Risk" sheetId="5" r:id="rId4"/>
    <sheet name="Optimal hedge ratio" sheetId="6" r:id="rId5"/>
    <sheet name="Sheet4" sheetId="14" r:id="rId6"/>
    <sheet name="EXTRA Linear Regression" sheetId="7" r:id="rId7"/>
    <sheet name="EXTRA Bond and Commodity" sheetId="8" r:id="rId8"/>
    <sheet name="GoalSeek help" sheetId="10" r:id="rId9"/>
  </sheets>
  <definedNames>
    <definedName name="solver_eng" localSheetId="0" hidden="1">1</definedName>
    <definedName name="solver_eng" localSheetId="6" hidden="1">1</definedName>
    <definedName name="solver_neg" localSheetId="0" hidden="1">1</definedName>
    <definedName name="solver_neg" localSheetId="6" hidden="1">1</definedName>
    <definedName name="solver_num" localSheetId="0" hidden="1">0</definedName>
    <definedName name="solver_num" localSheetId="6" hidden="1">0</definedName>
    <definedName name="solver_opt" localSheetId="0" hidden="1">'Bond price,Bond yield,Duration'!$F$33</definedName>
    <definedName name="solver_opt" localSheetId="6" hidden="1">'EXTRA Linear Regression'!$L$17</definedName>
    <definedName name="solver_typ" localSheetId="0" hidden="1">1</definedName>
    <definedName name="solver_typ" localSheetId="6" hidden="1">1</definedName>
    <definedName name="solver_val" localSheetId="0" hidden="1">0</definedName>
    <definedName name="solver_val" localSheetId="6" hidden="1">0</definedName>
    <definedName name="solver_ver" localSheetId="0" hidden="1">3</definedName>
    <definedName name="solver_ver" localSheetId="6" hidden="1">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7"/>
  <c r="E7"/>
  <c r="P14" i="6"/>
  <c r="H13"/>
  <c r="H10"/>
  <c r="I7"/>
  <c r="I6"/>
  <c r="I5"/>
  <c r="E5"/>
  <c r="E6"/>
  <c r="E7"/>
  <c r="E8"/>
  <c r="E9"/>
  <c r="E10"/>
  <c r="E11"/>
  <c r="E12"/>
  <c r="E13"/>
  <c r="E14"/>
  <c r="E15"/>
  <c r="D6"/>
  <c r="D7"/>
  <c r="D8"/>
  <c r="D9"/>
  <c r="D10"/>
  <c r="D11"/>
  <c r="D12"/>
  <c r="D13"/>
  <c r="D14"/>
  <c r="D15"/>
  <c r="M30" i="5" l="1"/>
  <c r="S29"/>
  <c r="S28"/>
  <c r="S27"/>
  <c r="S26"/>
  <c r="S25"/>
  <c r="S24"/>
  <c r="S23"/>
  <c r="R29"/>
  <c r="R28"/>
  <c r="R27"/>
  <c r="R26"/>
  <c r="R25"/>
  <c r="R24"/>
  <c r="R23"/>
  <c r="Q29"/>
  <c r="Q28"/>
  <c r="Q27"/>
  <c r="Q26"/>
  <c r="Q25"/>
  <c r="Q24"/>
  <c r="Q23"/>
  <c r="P29"/>
  <c r="P28"/>
  <c r="P27"/>
  <c r="P26"/>
  <c r="P25"/>
  <c r="P24"/>
  <c r="P23"/>
  <c r="O29"/>
  <c r="O28"/>
  <c r="O27"/>
  <c r="O26"/>
  <c r="O25"/>
  <c r="O24"/>
  <c r="O23"/>
  <c r="N29"/>
  <c r="N28"/>
  <c r="N27"/>
  <c r="N26"/>
  <c r="N25"/>
  <c r="N23"/>
  <c r="M29"/>
  <c r="M28"/>
  <c r="M27"/>
  <c r="M26"/>
  <c r="M25"/>
  <c r="M24"/>
  <c r="Q13"/>
  <c r="L4"/>
  <c r="M4"/>
  <c r="N4"/>
  <c r="O4"/>
  <c r="P4"/>
  <c r="Q4"/>
  <c r="L5"/>
  <c r="M5"/>
  <c r="N5"/>
  <c r="O5"/>
  <c r="P5"/>
  <c r="Q5"/>
  <c r="L6"/>
  <c r="M6"/>
  <c r="N6"/>
  <c r="O6"/>
  <c r="P6"/>
  <c r="Q6"/>
  <c r="L7"/>
  <c r="M7"/>
  <c r="N7"/>
  <c r="O7"/>
  <c r="P7"/>
  <c r="Q7"/>
  <c r="L8"/>
  <c r="M8"/>
  <c r="N8"/>
  <c r="O8"/>
  <c r="P8"/>
  <c r="Q8"/>
  <c r="L9"/>
  <c r="M9"/>
  <c r="N9"/>
  <c r="O9"/>
  <c r="P9"/>
  <c r="Q9"/>
  <c r="L10"/>
  <c r="M10"/>
  <c r="N10"/>
  <c r="O10"/>
  <c r="P10"/>
  <c r="Q10"/>
  <c r="L11"/>
  <c r="M11"/>
  <c r="N11"/>
  <c r="O11"/>
  <c r="P11"/>
  <c r="Q11"/>
  <c r="L12"/>
  <c r="M12"/>
  <c r="N12"/>
  <c r="O12"/>
  <c r="P12"/>
  <c r="Q12"/>
  <c r="L13"/>
  <c r="M13"/>
  <c r="N13"/>
  <c r="O13"/>
  <c r="P13"/>
  <c r="L14"/>
  <c r="M14"/>
  <c r="N14"/>
  <c r="O14"/>
  <c r="P14"/>
  <c r="Q14"/>
  <c r="K5"/>
  <c r="K6"/>
  <c r="K7"/>
  <c r="K8"/>
  <c r="K9"/>
  <c r="K10"/>
  <c r="K11"/>
  <c r="K12"/>
  <c r="K13"/>
  <c r="K14"/>
  <c r="B51" i="3"/>
  <c r="E48"/>
  <c r="E49"/>
  <c r="E47"/>
  <c r="C44" l="1"/>
  <c r="B49" i="2"/>
  <c r="T49"/>
  <c r="T50"/>
  <c r="T48"/>
  <c r="R49"/>
  <c r="R50"/>
  <c r="R48"/>
  <c r="Q50"/>
  <c r="Q49"/>
  <c r="Q48"/>
  <c r="D28"/>
  <c r="B18" i="10" l="1"/>
  <c r="B11"/>
  <c r="B4" l="1"/>
  <c r="O37" i="2"/>
  <c r="O36"/>
  <c r="B37" s="1"/>
  <c r="B35"/>
  <c r="B30"/>
  <c r="B21"/>
  <c r="B13"/>
  <c r="B11"/>
  <c r="B12"/>
  <c r="B7"/>
  <c r="B5" i="7" l="1"/>
  <c r="B6"/>
  <c r="B7"/>
  <c r="B8"/>
  <c r="B9"/>
  <c r="B10"/>
  <c r="B11"/>
  <c r="B12"/>
  <c r="B13"/>
  <c r="B14"/>
  <c r="A14"/>
  <c r="A5"/>
  <c r="A6"/>
  <c r="A7"/>
  <c r="A8"/>
  <c r="A9"/>
  <c r="A10"/>
  <c r="A11"/>
  <c r="A12"/>
  <c r="A13"/>
  <c r="B4"/>
  <c r="K4" i="5"/>
  <c r="M23" s="1"/>
  <c r="D5" i="6" l="1"/>
  <c r="A4" i="7" s="1"/>
  <c r="A5" i="6"/>
  <c r="A6"/>
  <c r="A7"/>
  <c r="A8"/>
  <c r="A9"/>
  <c r="A10"/>
  <c r="A11"/>
  <c r="A12"/>
  <c r="A13"/>
  <c r="A14"/>
  <c r="A15"/>
  <c r="A4"/>
  <c r="M22" i="5"/>
  <c r="J14"/>
  <c r="J13"/>
  <c r="J12"/>
  <c r="J11"/>
  <c r="J10"/>
  <c r="J9"/>
  <c r="J8"/>
  <c r="J7"/>
  <c r="J6"/>
  <c r="J5"/>
  <c r="J4"/>
  <c r="J3"/>
  <c r="A41" i="3"/>
  <c r="A23" i="4"/>
  <c r="A22"/>
  <c r="A21"/>
  <c r="A16" i="3"/>
  <c r="A15"/>
  <c r="A14"/>
  <c r="N24" i="5" l="1"/>
</calcChain>
</file>

<file path=xl/sharedStrings.xml><?xml version="1.0" encoding="utf-8"?>
<sst xmlns="http://schemas.openxmlformats.org/spreadsheetml/2006/main" count="263" uniqueCount="179">
  <si>
    <t>BOND PRICE</t>
  </si>
  <si>
    <t xml:space="preserve">Calculate the price of a bond with a par value of $1,000 to be paid in 10years, a coupon rate of 1.5% paid semi-annually, and a required annual yield of 3%. </t>
  </si>
  <si>
    <t>F</t>
  </si>
  <si>
    <t>maturity (years)</t>
  </si>
  <si>
    <t>n ( # of coupon payments)</t>
  </si>
  <si>
    <t>c (semi-annual)</t>
  </si>
  <si>
    <t>coupon payment</t>
  </si>
  <si>
    <t>y(semi-annual)</t>
  </si>
  <si>
    <t>Bond price</t>
  </si>
  <si>
    <t>Calculate the price of a zero coupon bond with face value 100, maturity in 9 years and spot yield of 7.4%.</t>
  </si>
  <si>
    <t>f</t>
  </si>
  <si>
    <t>maturity(years)</t>
  </si>
  <si>
    <t>spot yield</t>
  </si>
  <si>
    <t>BOND YIELD</t>
  </si>
  <si>
    <t>Calculate the yield(to maturity) of a bond with a par value of $1,000 to be paid in 3  years, a coupon rate of 3% annually, and a price $1010.00</t>
  </si>
  <si>
    <t>price</t>
  </si>
  <si>
    <t>coupon (annual)</t>
  </si>
  <si>
    <t>coupon payment (annual)</t>
  </si>
  <si>
    <t>par val</t>
  </si>
  <si>
    <t>n (years)</t>
  </si>
  <si>
    <t xml:space="preserve">Current yield </t>
  </si>
  <si>
    <t>yield(to maturity)</t>
  </si>
  <si>
    <t>approx YTM</t>
  </si>
  <si>
    <t>Is this bond par, premium, or discount. Give reasoning.</t>
  </si>
  <si>
    <t>Duration</t>
  </si>
  <si>
    <t xml:space="preserve">Macaulay </t>
  </si>
  <si>
    <t>years</t>
  </si>
  <si>
    <t>Modified</t>
  </si>
  <si>
    <t>%</t>
  </si>
  <si>
    <t>What does duration tell us?</t>
  </si>
  <si>
    <t xml:space="preserve">Treasury Yield Curve </t>
  </si>
  <si>
    <t>Date</t>
  </si>
  <si>
    <t>1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</si>
  <si>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</si>
  <si>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</si>
  <si>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</si>
  <si>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</si>
  <si>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</si>
  <si>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</si>
  <si>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</si>
  <si>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</si>
  <si>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</si>
  <si>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</si>
  <si>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Years</t>
  </si>
  <si>
    <t>Rate</t>
  </si>
  <si>
    <t>Describe what you see about the different yield curves</t>
  </si>
  <si>
    <t>Bond price from Treasury rates</t>
  </si>
  <si>
    <t>coupon</t>
  </si>
  <si>
    <t>n</t>
  </si>
  <si>
    <t>Treasury Rate</t>
  </si>
  <si>
    <t>CF</t>
  </si>
  <si>
    <t>1 yr</t>
  </si>
  <si>
    <t>2yr</t>
  </si>
  <si>
    <t>3 yr</t>
  </si>
  <si>
    <t>Is this bond a discount, par or premium bond? Why do you think?</t>
  </si>
  <si>
    <t>Explain</t>
  </si>
  <si>
    <t>What is the difference between Macaulay Duration and Modified Duration ?</t>
  </si>
  <si>
    <t>LT yields are higher than ST yield</t>
  </si>
  <si>
    <t>20 year yields has been increasing April-July</t>
  </si>
  <si>
    <t>3 month yields have been decreasing April-July</t>
  </si>
  <si>
    <t>LT yields</t>
  </si>
  <si>
    <t>10,20,30 year</t>
  </si>
  <si>
    <t>MT yields</t>
  </si>
  <si>
    <t>1-7 years</t>
  </si>
  <si>
    <t>ST yields</t>
  </si>
  <si>
    <t>0-6mth</t>
  </si>
  <si>
    <t xml:space="preserve">April 5 and 7 year yields are greater than May,Jun,July </t>
  </si>
  <si>
    <t>All month yield curves are normal shaped</t>
  </si>
  <si>
    <t>T/F</t>
  </si>
  <si>
    <t>Prior to 2008, yield curves were normal</t>
  </si>
  <si>
    <t xml:space="preserve">2011 30 yr yield was greater than 2010 </t>
  </si>
  <si>
    <t>5 yr yields have strickly decreased since 2006</t>
  </si>
  <si>
    <t>2015 QE stopped and all yields increased from 2015-2016</t>
  </si>
  <si>
    <t>2017 all yields are higher than 2016</t>
  </si>
  <si>
    <t>Overall Short term rates decayed most from 2006 - 2017</t>
  </si>
  <si>
    <t>http://www.indexmundi.com/commodities/?commodity=propane&amp;months=12</t>
  </si>
  <si>
    <t>Spot</t>
  </si>
  <si>
    <t>Month</t>
  </si>
  <si>
    <t>Propane</t>
  </si>
  <si>
    <t>Heating Oil Price (US Dollars per Gallon)</t>
  </si>
  <si>
    <t>Gasoline Price (US Dollars per Gallon)</t>
  </si>
  <si>
    <t>Crude Oil (petroleum); West Texas Intermediate Price (US Dollars per Barrel)</t>
  </si>
  <si>
    <t>RBOB Gasoline Price (US Dollars per Gallon)</t>
  </si>
  <si>
    <t>Natural Gas Price (US Dollars per Million Metric BTU)</t>
  </si>
  <si>
    <r>
      <rPr>
        <b/>
        <sz val="7.5"/>
        <color theme="1"/>
        <rFont val="Calibri"/>
        <family val="2"/>
      </rPr>
      <t>Δ Propane</t>
    </r>
    <r>
      <rPr>
        <b/>
        <sz val="7.5"/>
        <color theme="1"/>
        <rFont val="Arial"/>
        <family val="2"/>
      </rPr>
      <t xml:space="preserve"> </t>
    </r>
  </si>
  <si>
    <t>Δ HO</t>
  </si>
  <si>
    <t>Δ Gasoline</t>
  </si>
  <si>
    <t>Δ Crude Oil</t>
  </si>
  <si>
    <t>Δ RBOB</t>
  </si>
  <si>
    <t>Δ NG</t>
  </si>
  <si>
    <t>Guess which would be best fit ?</t>
  </si>
  <si>
    <t>Correlation Matrix</t>
  </si>
  <si>
    <t>HO</t>
  </si>
  <si>
    <t>GASO</t>
  </si>
  <si>
    <t>WTI</t>
  </si>
  <si>
    <t>RBOB</t>
  </si>
  <si>
    <t>NG</t>
  </si>
  <si>
    <t>Coal Price  Colombia (US Dollars per Million Metric BTU)</t>
  </si>
  <si>
    <t>Δ Coal</t>
  </si>
  <si>
    <t>Coal</t>
  </si>
  <si>
    <t>WRI</t>
  </si>
  <si>
    <t>What is our position for underlying propane : long or short ?</t>
  </si>
  <si>
    <t xml:space="preserve">What is our position in our hedge instrument ? </t>
  </si>
  <si>
    <t>Why?</t>
  </si>
  <si>
    <t xml:space="preserve">Spot </t>
  </si>
  <si>
    <t>Futures</t>
  </si>
  <si>
    <t>Δpropane</t>
  </si>
  <si>
    <r>
      <t>h* =( σ</t>
    </r>
    <r>
      <rPr>
        <i/>
        <vertAlign val="subscript"/>
        <sz val="18"/>
        <color rgb="FF000000"/>
        <rFont val="Times New Roman"/>
        <family val="1"/>
      </rPr>
      <t>p</t>
    </r>
    <r>
      <rPr>
        <i/>
        <sz val="18"/>
        <color rgb="FF000000"/>
        <rFont val="Times New Roman"/>
        <family val="1"/>
      </rPr>
      <t xml:space="preserve"> / σ</t>
    </r>
    <r>
      <rPr>
        <i/>
        <vertAlign val="subscript"/>
        <sz val="18"/>
        <color rgb="FF000000"/>
        <rFont val="Times New Roman"/>
        <family val="1"/>
      </rPr>
      <t>f</t>
    </r>
    <r>
      <rPr>
        <i/>
        <sz val="18"/>
        <color rgb="FF000000"/>
        <rFont val="Times New Roman"/>
        <family val="1"/>
      </rPr>
      <t xml:space="preserve">  )* ρ</t>
    </r>
    <r>
      <rPr>
        <i/>
        <vertAlign val="subscript"/>
        <sz val="18"/>
        <color rgb="FF000000"/>
        <rFont val="Times New Roman"/>
        <family val="1"/>
      </rPr>
      <t>(p,f)</t>
    </r>
  </si>
  <si>
    <t>A farmer in Minnesota wishes to hedge</t>
  </si>
  <si>
    <t>gallons of propane requirement</t>
  </si>
  <si>
    <t>gallons</t>
  </si>
  <si>
    <r>
      <t>σ</t>
    </r>
    <r>
      <rPr>
        <vertAlign val="subscript"/>
        <sz val="11"/>
        <color theme="1"/>
        <rFont val="Calibri"/>
        <family val="2"/>
        <scheme val="minor"/>
      </rPr>
      <t xml:space="preserve">p </t>
    </r>
  </si>
  <si>
    <r>
      <t>σ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 </t>
    </r>
  </si>
  <si>
    <r>
      <t>ρ</t>
    </r>
    <r>
      <rPr>
        <vertAlign val="subscript"/>
        <sz val="11"/>
        <color theme="1"/>
        <rFont val="Calibri"/>
        <family val="2"/>
        <scheme val="minor"/>
      </rPr>
      <t>(p,f)</t>
    </r>
  </si>
  <si>
    <t>h*</t>
  </si>
  <si>
    <t>This says that the future's position</t>
  </si>
  <si>
    <t xml:space="preserve">should be </t>
  </si>
  <si>
    <t xml:space="preserve"> of the spot position.</t>
  </si>
  <si>
    <t xml:space="preserve">Optimal Contracts = </t>
  </si>
  <si>
    <t xml:space="preserve">farmer should use </t>
  </si>
  <si>
    <t>spot position</t>
  </si>
  <si>
    <t>WTI Futures</t>
  </si>
  <si>
    <t>ΔWTI</t>
  </si>
  <si>
    <t>https://www.investing.com/commodities/crude-oil-historical-data</t>
  </si>
  <si>
    <t>SUMMARY OUTPUT</t>
  </si>
  <si>
    <t xml:space="preserve">β </t>
  </si>
  <si>
    <t xml:space="preserve">Optimal contracts = </t>
  </si>
  <si>
    <t>WTI futures contract to hedge the propane</t>
  </si>
  <si>
    <t xml:space="preserve">The contract size of the CME WTI contract is equal to </t>
  </si>
  <si>
    <t>part 1</t>
  </si>
  <si>
    <t>part 2</t>
  </si>
  <si>
    <t>part 3</t>
  </si>
  <si>
    <t>Loan Amount</t>
  </si>
  <si>
    <t>Term in Months</t>
  </si>
  <si>
    <t>Interest Rate</t>
  </si>
  <si>
    <t>Payment</t>
  </si>
  <si>
    <t>This bond is premium because the Coupon rate &gt; Current Yield</t>
  </si>
  <si>
    <t>t=1</t>
  </si>
  <si>
    <t>t=2</t>
  </si>
  <si>
    <t>PMT(B3/12,B2,B1)</t>
  </si>
  <si>
    <t>Principal</t>
  </si>
  <si>
    <t>Time</t>
  </si>
  <si>
    <t>Amount</t>
  </si>
  <si>
    <t>Period</t>
  </si>
  <si>
    <t>Use Goal seek by setting the changing cell to B18 and the value to the amount in B11 and setting the to change cell to B16</t>
  </si>
  <si>
    <t>t=3</t>
  </si>
  <si>
    <t>T</t>
  </si>
  <si>
    <t>Using the Treasury rates for 1 yr ,2yr and 3 yr from date 7/26/2017 from above</t>
  </si>
  <si>
    <t>a. Calculate the price of a 3 year bond with 1% coupon rate (annually) with a par value of $1000</t>
  </si>
  <si>
    <t>b. Is this bond a discount, par or premium bond? Why do you think?</t>
  </si>
  <si>
    <t>Since the coupon rate &lt; all the yields it would be a discount bond</t>
  </si>
  <si>
    <t>max</t>
  </si>
  <si>
    <t>Long</t>
  </si>
  <si>
    <t>Short</t>
  </si>
  <si>
    <t>Correl is positive</t>
  </si>
  <si>
    <t>This means that the size of the futures position should be 0.022325 times the size of the traders exposure in a hedge.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</si>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</sst>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666666"/>
      <name val="Arial"/>
      <family val="2"/>
    </font>
    <font>
      <b/>
      <i/>
      <sz val="16"/>
      <color theme="1"/>
      <name val="Calibri"/>
      <family val="2"/>
      <scheme val="minor"/>
    </font>
    <font>
      <b/>
      <sz val="9"/>
      <color rgb="FF2A2A2A"/>
      <name val="Arial"/>
      <family val="2"/>
    </font>
    <font>
      <sz val="9"/>
      <color rgb="FF2A2A2A"/>
      <name val="Arial"/>
      <family val="2"/>
    </font>
    <font>
      <u/>
      <sz val="11"/>
      <color theme="10"/>
      <name val="Calibri"/>
      <family val="2"/>
    </font>
    <font>
      <b/>
      <sz val="7.5"/>
      <color theme="1"/>
      <name val="Arial"/>
      <family val="2"/>
    </font>
    <font>
      <b/>
      <sz val="7.5"/>
      <color theme="1"/>
      <name val="Calibri"/>
      <family val="2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8"/>
      <color rgb="FF000000"/>
      <name val="Times New Roman"/>
      <family val="1"/>
    </font>
    <font>
      <i/>
      <vertAlign val="subscript"/>
      <sz val="18"/>
      <color rgb="FF000000"/>
      <name val="Times New Roman"/>
      <family val="1"/>
    </font>
    <font>
      <sz val="10"/>
      <color rgb="FF242024"/>
      <name val="Lucida Sans"/>
      <family val="2"/>
    </font>
    <font>
      <vertAlign val="subscript"/>
      <sz val="11"/>
      <color theme="1"/>
      <name val="Calibri"/>
      <family val="2"/>
      <scheme val="minor"/>
    </font>
    <font>
      <i/>
      <sz val="14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5ECF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3" fillId="0" borderId="0" xfId="0" applyFont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0" borderId="1" xfId="0" applyBorder="1"/>
    <xf numFmtId="0" fontId="0" fillId="0" borderId="0" xfId="0"/>
    <xf numFmtId="0" fontId="0" fillId="0" borderId="0" xfId="0" applyFill="1"/>
    <xf numFmtId="10" fontId="0" fillId="0" borderId="0" xfId="1" applyNumberFormat="1" applyFont="1" applyFill="1"/>
    <xf numFmtId="2" fontId="0" fillId="0" borderId="0" xfId="0" applyNumberFormat="1"/>
    <xf numFmtId="10" fontId="0" fillId="4" borderId="0" xfId="1" applyNumberFormat="1" applyFont="1" applyFill="1"/>
    <xf numFmtId="0" fontId="0" fillId="5" borderId="0" xfId="0" applyFill="1"/>
    <xf numFmtId="0" fontId="0" fillId="4" borderId="0" xfId="0" applyFill="1" applyAlignment="1">
      <alignment vertical="top"/>
    </xf>
    <xf numFmtId="0" fontId="5" fillId="0" borderId="0" xfId="0" applyFont="1"/>
    <xf numFmtId="0" fontId="6" fillId="6" borderId="0" xfId="0" applyFont="1" applyFill="1" applyAlignment="1">
      <alignment horizontal="left" vertical="center" wrapText="1"/>
    </xf>
    <xf numFmtId="14" fontId="7" fillId="7" borderId="0" xfId="0" applyNumberFormat="1" applyFont="1" applyFill="1" applyAlignment="1">
      <alignment vertical="top" wrapText="1"/>
    </xf>
    <xf numFmtId="14" fontId="0" fillId="0" borderId="0" xfId="0" applyNumberFormat="1"/>
    <xf numFmtId="9" fontId="0" fillId="4" borderId="0" xfId="0" applyNumberFormat="1" applyFill="1"/>
    <xf numFmtId="0" fontId="0" fillId="8" borderId="0" xfId="0" applyFill="1"/>
    <xf numFmtId="14" fontId="7" fillId="9" borderId="0" xfId="0" applyNumberFormat="1" applyFont="1" applyFill="1" applyAlignment="1">
      <alignment vertical="top" wrapText="1"/>
    </xf>
    <xf numFmtId="0" fontId="0" fillId="10" borderId="0" xfId="0" applyFill="1"/>
    <xf numFmtId="0" fontId="0" fillId="11" borderId="0" xfId="0" applyFill="1"/>
    <xf numFmtId="0" fontId="0" fillId="8" borderId="0" xfId="0" applyNumberFormat="1" applyFill="1"/>
    <xf numFmtId="0" fontId="8" fillId="0" borderId="0" xfId="3" applyAlignment="1" applyProtection="1"/>
    <xf numFmtId="0" fontId="9" fillId="12" borderId="2" xfId="0" applyFont="1" applyFill="1" applyBorder="1" applyAlignment="1">
      <alignment horizontal="center" vertical="center" wrapText="1"/>
    </xf>
    <xf numFmtId="17" fontId="12" fillId="9" borderId="2" xfId="0" applyNumberFormat="1" applyFont="1" applyFill="1" applyBorder="1" applyAlignment="1">
      <alignment horizontal="right" vertical="center" wrapText="1"/>
    </xf>
    <xf numFmtId="17" fontId="11" fillId="9" borderId="2" xfId="0" applyNumberFormat="1" applyFont="1" applyFill="1" applyBorder="1" applyAlignment="1">
      <alignment horizontal="right" wrapText="1"/>
    </xf>
    <xf numFmtId="0" fontId="13" fillId="4" borderId="0" xfId="2" applyFont="1" applyFill="1"/>
    <xf numFmtId="0" fontId="0" fillId="11" borderId="0" xfId="0" applyFill="1" applyBorder="1"/>
    <xf numFmtId="0" fontId="14" fillId="11" borderId="0" xfId="0" applyFont="1" applyFill="1"/>
    <xf numFmtId="0" fontId="9" fillId="12" borderId="3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5" fillId="0" borderId="0" xfId="0" applyFont="1"/>
    <xf numFmtId="0" fontId="14" fillId="0" borderId="0" xfId="0" applyFont="1"/>
    <xf numFmtId="3" fontId="0" fillId="0" borderId="0" xfId="0" applyNumberFormat="1" applyFill="1"/>
    <xf numFmtId="17" fontId="13" fillId="9" borderId="2" xfId="0" applyNumberFormat="1" applyFont="1" applyFill="1" applyBorder="1" applyAlignment="1">
      <alignment horizontal="right" wrapText="1"/>
    </xf>
    <xf numFmtId="0" fontId="13" fillId="4" borderId="0" xfId="0" applyFont="1" applyFill="1"/>
    <xf numFmtId="0" fontId="17" fillId="0" borderId="0" xfId="0" applyFont="1"/>
    <xf numFmtId="3" fontId="0" fillId="4" borderId="0" xfId="0" applyNumberFormat="1" applyFill="1"/>
    <xf numFmtId="0" fontId="13" fillId="0" borderId="0" xfId="0" applyFont="1"/>
    <xf numFmtId="164" fontId="0" fillId="4" borderId="0" xfId="0" applyNumberFormat="1" applyFill="1"/>
    <xf numFmtId="1" fontId="0" fillId="4" borderId="0" xfId="0" applyNumberFormat="1" applyFill="1"/>
    <xf numFmtId="0" fontId="0" fillId="0" borderId="0" xfId="0" applyFill="1" applyBorder="1" applyAlignment="1"/>
    <xf numFmtId="0" fontId="0" fillId="0" borderId="5" xfId="0" applyFill="1" applyBorder="1" applyAlignment="1"/>
    <xf numFmtId="0" fontId="14" fillId="0" borderId="6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Continuous"/>
    </xf>
    <xf numFmtId="0" fontId="20" fillId="11" borderId="0" xfId="0" applyFont="1" applyFill="1" applyAlignment="1">
      <alignment horizontal="right"/>
    </xf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8" fontId="0" fillId="0" borderId="0" xfId="0" applyNumberFormat="1"/>
    <xf numFmtId="0" fontId="0" fillId="0" borderId="0" xfId="0"/>
    <xf numFmtId="0" fontId="21" fillId="8" borderId="0" xfId="0" applyFont="1" applyFill="1"/>
    <xf numFmtId="0" fontId="0" fillId="0" borderId="0" xfId="0"/>
    <xf numFmtId="0" fontId="4" fillId="4" borderId="0" xfId="0" applyFont="1" applyFill="1" applyAlignment="1">
      <alignment horizontal="center" vertical="top" wrapText="1"/>
    </xf>
    <xf numFmtId="0" fontId="4" fillId="4" borderId="0" xfId="0" applyFont="1" applyFill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4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/>
    <xf numFmtId="0" fontId="22" fillId="4" borderId="0" xfId="0" applyFont="1" applyFill="1"/>
    <xf numFmtId="0" fontId="22" fillId="0" borderId="0" xfId="0" applyFont="1"/>
    <xf numFmtId="0" fontId="23" fillId="0" borderId="0" xfId="0" applyFont="1" applyAlignment="1">
      <alignment readingOrder="1"/>
    </xf>
  </cellXfs>
  <cellStyles count="4">
    <cellStyle name="Good" xfId="2" builtinId="2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End</a:t>
            </a:r>
            <a:r>
              <a:rPr lang="en-US" baseline="0"/>
              <a:t> of Month Treasury Yield Curves</a:t>
            </a:r>
            <a:endParaRPr lang="en-US"/>
          </a:p>
        </c:rich>
      </c:tx>
      <c:layout>
        <c:manualLayout>
          <c:xMode val="edge"/>
          <c:yMode val="edge"/>
          <c:x val="0.15795440542205882"/>
          <c:y val="2.0460358056266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'Yield Curve'!$B$13</c:f>
              <c:strCache>
                <c:ptCount val="1"/>
                <c:pt idx="0">
                  <c:v>4/26/2017</c:v>
                </c:pt>
              </c:strCache>
            </c:strRef>
          </c:tx>
          <c:marker>
            <c:spPr>
              <a:ln w="3175"/>
            </c:spPr>
          </c:marker>
          <c:xVal>
            <c:numRef>
              <c:f>'Yield Curve'!$A$14:$A$24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'Yield Curve'!$B$14:$B$24</c:f>
              <c:numCache>
                <c:formatCode>General</c:formatCode>
                <c:ptCount val="11"/>
                <c:pt idx="0">
                  <c:v>0.74</c:v>
                </c:pt>
                <c:pt idx="1">
                  <c:v>0.83</c:v>
                </c:pt>
                <c:pt idx="2">
                  <c:v>0.99</c:v>
                </c:pt>
                <c:pt idx="3">
                  <c:v>1.07</c:v>
                </c:pt>
                <c:pt idx="4">
                  <c:v>1.28</c:v>
                </c:pt>
                <c:pt idx="5">
                  <c:v>1.46</c:v>
                </c:pt>
                <c:pt idx="6">
                  <c:v>1.84</c:v>
                </c:pt>
                <c:pt idx="7">
                  <c:v>2.12</c:v>
                </c:pt>
                <c:pt idx="8">
                  <c:v>2.3199999999999998</c:v>
                </c:pt>
                <c:pt idx="9">
                  <c:v>2.69</c:v>
                </c:pt>
                <c:pt idx="10">
                  <c:v>2.97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E9B-4FE5-81F1-342E22B20364}"/>
            </c:ext>
          </c:extLst>
        </c:ser>
        <c:ser>
          <c:idx val="1"/>
          <c:order val="1"/>
          <c:tx>
            <c:strRef>
              <c:f>'Yield Curve'!$C$13</c:f>
              <c:strCache>
                <c:ptCount val="1"/>
                <c:pt idx="0">
                  <c:v>5/26/2017</c:v>
                </c:pt>
              </c:strCache>
            </c:strRef>
          </c:tx>
          <c:marker>
            <c:spPr>
              <a:ln w="3175"/>
            </c:spPr>
          </c:marker>
          <c:xVal>
            <c:numRef>
              <c:f>'Yield Curve'!$A$14:$A$24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'Yield Curve'!$C$14:$C$24</c:f>
              <c:numCache>
                <c:formatCode>General</c:formatCode>
                <c:ptCount val="11"/>
                <c:pt idx="0">
                  <c:v>0.75</c:v>
                </c:pt>
                <c:pt idx="1">
                  <c:v>0.94</c:v>
                </c:pt>
                <c:pt idx="2">
                  <c:v>1.08</c:v>
                </c:pt>
                <c:pt idx="3">
                  <c:v>1.17</c:v>
                </c:pt>
                <c:pt idx="4">
                  <c:v>1.3</c:v>
                </c:pt>
                <c:pt idx="5">
                  <c:v>1.46</c:v>
                </c:pt>
                <c:pt idx="6">
                  <c:v>1.79</c:v>
                </c:pt>
                <c:pt idx="7">
                  <c:v>2.06</c:v>
                </c:pt>
                <c:pt idx="8">
                  <c:v>2.25</c:v>
                </c:pt>
                <c:pt idx="9">
                  <c:v>2.65</c:v>
                </c:pt>
                <c:pt idx="10">
                  <c:v>2.92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EE9B-4FE5-81F1-342E22B20364}"/>
            </c:ext>
          </c:extLst>
        </c:ser>
        <c:ser>
          <c:idx val="2"/>
          <c:order val="2"/>
          <c:tx>
            <c:strRef>
              <c:f>'Yield Curve'!$D$13</c:f>
              <c:strCache>
                <c:ptCount val="1"/>
                <c:pt idx="0">
                  <c:v>6/26/2017</c:v>
                </c:pt>
              </c:strCache>
            </c:strRef>
          </c:tx>
          <c:marker>
            <c:spPr>
              <a:ln w="3175"/>
            </c:spPr>
          </c:marker>
          <c:xVal>
            <c:numRef>
              <c:f>'Yield Curve'!$A$14:$A$24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'Yield Curve'!$D$14:$D$24</c:f>
              <c:numCache>
                <c:formatCode>General</c:formatCode>
                <c:ptCount val="11"/>
                <c:pt idx="0">
                  <c:v>0.81</c:v>
                </c:pt>
                <c:pt idx="1">
                  <c:v>0.99</c:v>
                </c:pt>
                <c:pt idx="2">
                  <c:v>1.1000000000000001</c:v>
                </c:pt>
                <c:pt idx="3">
                  <c:v>1.2</c:v>
                </c:pt>
                <c:pt idx="4">
                  <c:v>1.36</c:v>
                </c:pt>
                <c:pt idx="5">
                  <c:v>1.48</c:v>
                </c:pt>
                <c:pt idx="6">
                  <c:v>1.77</c:v>
                </c:pt>
                <c:pt idx="7">
                  <c:v>1.97</c:v>
                </c:pt>
                <c:pt idx="8">
                  <c:v>2.14</c:v>
                </c:pt>
                <c:pt idx="9">
                  <c:v>2.46</c:v>
                </c:pt>
                <c:pt idx="10">
                  <c:v>2.7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EE9B-4FE5-81F1-342E22B20364}"/>
            </c:ext>
          </c:extLst>
        </c:ser>
        <c:ser>
          <c:idx val="3"/>
          <c:order val="3"/>
          <c:tx>
            <c:strRef>
              <c:f>'Yield Curve'!$E$13</c:f>
              <c:strCache>
                <c:ptCount val="1"/>
                <c:pt idx="0">
                  <c:v>7/26/2017</c:v>
                </c:pt>
              </c:strCache>
            </c:strRef>
          </c:tx>
          <c:marker>
            <c:spPr>
              <a:ln w="3175"/>
            </c:spPr>
          </c:marker>
          <c:xVal>
            <c:numRef>
              <c:f>'Yield Curve'!$A$14:$A$24</c:f>
              <c:numCache>
                <c:formatCode>General</c:formatCode>
                <c:ptCount val="11"/>
                <c:pt idx="0">
                  <c:v>8.3333333333333329E-2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'Yield Curve'!$E$14:$E$24</c:f>
              <c:numCache>
                <c:formatCode>General</c:formatCode>
                <c:ptCount val="11"/>
                <c:pt idx="0">
                  <c:v>1.02</c:v>
                </c:pt>
                <c:pt idx="1">
                  <c:v>1.1299999999999999</c:v>
                </c:pt>
                <c:pt idx="2">
                  <c:v>1.1399999999999999</c:v>
                </c:pt>
                <c:pt idx="3">
                  <c:v>1.23</c:v>
                </c:pt>
                <c:pt idx="4">
                  <c:v>1.36</c:v>
                </c:pt>
                <c:pt idx="5">
                  <c:v>1.5</c:v>
                </c:pt>
                <c:pt idx="6">
                  <c:v>1.83</c:v>
                </c:pt>
                <c:pt idx="7">
                  <c:v>2.09</c:v>
                </c:pt>
                <c:pt idx="8">
                  <c:v>2.29</c:v>
                </c:pt>
                <c:pt idx="9">
                  <c:v>2.65</c:v>
                </c:pt>
                <c:pt idx="10">
                  <c:v>2.89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EE9B-4FE5-81F1-342E22B20364}"/>
            </c:ext>
          </c:extLst>
        </c:ser>
        <c:axId val="100929536"/>
        <c:axId val="100931456"/>
      </c:scatterChart>
      <c:valAx>
        <c:axId val="100929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TTM</a:t>
                </a:r>
              </a:p>
            </c:rich>
          </c:tx>
          <c:layout/>
        </c:title>
        <c:numFmt formatCode="General" sourceLinked="1"/>
        <c:tickLblPos val="nextTo"/>
        <c:crossAx val="100931456"/>
        <c:crosses val="autoZero"/>
        <c:crossBetween val="midCat"/>
        <c:majorUnit val="5"/>
      </c:valAx>
      <c:valAx>
        <c:axId val="100931456"/>
        <c:scaling>
          <c:orientation val="minMax"/>
          <c:max val="3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Treasury Yield</a:t>
                </a:r>
              </a:p>
            </c:rich>
          </c:tx>
          <c:layout/>
        </c:title>
        <c:numFmt formatCode="General" sourceLinked="1"/>
        <c:tickLblPos val="nextTo"/>
        <c:crossAx val="100929536"/>
        <c:crosses val="autoZero"/>
        <c:crossBetween val="midCat"/>
        <c:majorUnit val="0.25"/>
      </c:valAx>
    </c:plotArea>
    <c:legend>
      <c:legendPos val="r"/>
      <c:layout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Propane</c:v>
          </c:tx>
          <c:xVal>
            <c:numRef>
              <c:f>'Basis Risk'!$J$3:$J$14</c:f>
              <c:numCache>
                <c:formatCode>mmm\-yy</c:formatCode>
                <c:ptCount val="12"/>
                <c:pt idx="0">
                  <c:v>42567</c:v>
                </c:pt>
                <c:pt idx="1">
                  <c:v>42598</c:v>
                </c:pt>
                <c:pt idx="2">
                  <c:v>42629</c:v>
                </c:pt>
                <c:pt idx="3">
                  <c:v>42659</c:v>
                </c:pt>
                <c:pt idx="4">
                  <c:v>42690</c:v>
                </c:pt>
                <c:pt idx="5">
                  <c:v>42720</c:v>
                </c:pt>
                <c:pt idx="6">
                  <c:v>42751</c:v>
                </c:pt>
                <c:pt idx="7">
                  <c:v>42782</c:v>
                </c:pt>
                <c:pt idx="8">
                  <c:v>42810</c:v>
                </c:pt>
                <c:pt idx="9">
                  <c:v>42841</c:v>
                </c:pt>
                <c:pt idx="10">
                  <c:v>42871</c:v>
                </c:pt>
                <c:pt idx="11">
                  <c:v>42902</c:v>
                </c:pt>
              </c:numCache>
            </c:numRef>
          </c:xVal>
          <c:yVal>
            <c:numRef>
              <c:f>'Basis Risk'!$K$4:$K$14</c:f>
              <c:numCache>
                <c:formatCode>General</c:formatCode>
                <c:ptCount val="11"/>
                <c:pt idx="0">
                  <c:v>-2.9999999999999971E-2</c:v>
                </c:pt>
                <c:pt idx="1">
                  <c:v>4.9999999999999989E-2</c:v>
                </c:pt>
                <c:pt idx="2">
                  <c:v>6.9999999999999951E-2</c:v>
                </c:pt>
                <c:pt idx="3">
                  <c:v>-2.9999999999999916E-2</c:v>
                </c:pt>
                <c:pt idx="4">
                  <c:v>9.9999999999999978E-2</c:v>
                </c:pt>
                <c:pt idx="5">
                  <c:v>0.10999999999999999</c:v>
                </c:pt>
                <c:pt idx="6">
                  <c:v>2.0000000000000018E-2</c:v>
                </c:pt>
                <c:pt idx="7">
                  <c:v>-0.15000000000000002</c:v>
                </c:pt>
                <c:pt idx="8">
                  <c:v>3.0000000000000027E-2</c:v>
                </c:pt>
                <c:pt idx="9">
                  <c:v>-1.0000000000000009E-2</c:v>
                </c:pt>
                <c:pt idx="10">
                  <c:v>-5.0000000000000044E-2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4BD4-47F6-B72F-15580859EBE8}"/>
            </c:ext>
          </c:extLst>
        </c:ser>
        <c:axId val="100984704"/>
        <c:axId val="100986240"/>
      </c:scatterChart>
      <c:scatterChart>
        <c:scatterStyle val="lineMarker"/>
        <c:ser>
          <c:idx val="1"/>
          <c:order val="1"/>
          <c:tx>
            <c:v>WTI</c:v>
          </c:tx>
          <c:xVal>
            <c:numRef>
              <c:f>'Basis Risk'!$J$3:$J$14</c:f>
              <c:numCache>
                <c:formatCode>mmm\-yy</c:formatCode>
                <c:ptCount val="12"/>
                <c:pt idx="0">
                  <c:v>42567</c:v>
                </c:pt>
                <c:pt idx="1">
                  <c:v>42598</c:v>
                </c:pt>
                <c:pt idx="2">
                  <c:v>42629</c:v>
                </c:pt>
                <c:pt idx="3">
                  <c:v>42659</c:v>
                </c:pt>
                <c:pt idx="4">
                  <c:v>42690</c:v>
                </c:pt>
                <c:pt idx="5">
                  <c:v>42720</c:v>
                </c:pt>
                <c:pt idx="6">
                  <c:v>42751</c:v>
                </c:pt>
                <c:pt idx="7">
                  <c:v>42782</c:v>
                </c:pt>
                <c:pt idx="8">
                  <c:v>42810</c:v>
                </c:pt>
                <c:pt idx="9">
                  <c:v>42841</c:v>
                </c:pt>
                <c:pt idx="10">
                  <c:v>42871</c:v>
                </c:pt>
                <c:pt idx="11">
                  <c:v>42902</c:v>
                </c:pt>
              </c:numCache>
            </c:numRef>
          </c:xVal>
          <c:yVal>
            <c:numRef>
              <c:f>'Basis Risk'!$N$4:$N$14</c:f>
              <c:numCache>
                <c:formatCode>General</c:formatCode>
                <c:ptCount val="11"/>
                <c:pt idx="0">
                  <c:v>-0.14000000000000057</c:v>
                </c:pt>
                <c:pt idx="1">
                  <c:v>0.42000000000000171</c:v>
                </c:pt>
                <c:pt idx="2">
                  <c:v>4.7199999999999989</c:v>
                </c:pt>
                <c:pt idx="3">
                  <c:v>-4.2700000000000031</c:v>
                </c:pt>
                <c:pt idx="4">
                  <c:v>6.3900000000000006</c:v>
                </c:pt>
                <c:pt idx="5">
                  <c:v>0.55000000000000426</c:v>
                </c:pt>
                <c:pt idx="6">
                  <c:v>0.83999999999999631</c:v>
                </c:pt>
                <c:pt idx="7">
                  <c:v>-3.8200000000000003</c:v>
                </c:pt>
                <c:pt idx="8">
                  <c:v>1.5900000000000034</c:v>
                </c:pt>
                <c:pt idx="9">
                  <c:v>-2.6099999999999994</c:v>
                </c:pt>
                <c:pt idx="10">
                  <c:v>-3.3900000000000006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4BD4-47F6-B72F-15580859EBE8}"/>
            </c:ext>
          </c:extLst>
        </c:ser>
        <c:axId val="103644544"/>
        <c:axId val="103642624"/>
      </c:scatterChart>
      <c:valAx>
        <c:axId val="100984704"/>
        <c:scaling>
          <c:orientation val="minMax"/>
        </c:scaling>
        <c:axPos val="b"/>
        <c:numFmt formatCode="mmm\-yy" sourceLinked="1"/>
        <c:tickLblPos val="nextTo"/>
        <c:crossAx val="100986240"/>
        <c:crosses val="autoZero"/>
        <c:crossBetween val="midCat"/>
      </c:valAx>
      <c:valAx>
        <c:axId val="100986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Propane</a:t>
                </a:r>
              </a:p>
            </c:rich>
          </c:tx>
          <c:layout/>
        </c:title>
        <c:numFmt formatCode="General" sourceLinked="1"/>
        <c:tickLblPos val="nextTo"/>
        <c:crossAx val="100984704"/>
        <c:crosses val="autoZero"/>
        <c:crossBetween val="midCat"/>
      </c:valAx>
      <c:valAx>
        <c:axId val="103642624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WTI</a:t>
                </a:r>
              </a:p>
            </c:rich>
          </c:tx>
          <c:layout/>
        </c:title>
        <c:numFmt formatCode="General" sourceLinked="1"/>
        <c:tickLblPos val="nextTo"/>
        <c:crossAx val="103644544"/>
        <c:crosses val="max"/>
        <c:crossBetween val="midCat"/>
      </c:valAx>
      <c:valAx>
        <c:axId val="103644544"/>
        <c:scaling>
          <c:orientation val="minMax"/>
        </c:scaling>
        <c:delete val="1"/>
        <c:axPos val="b"/>
        <c:numFmt formatCode="mmm\-yy" sourceLinked="1"/>
        <c:tickLblPos val="none"/>
        <c:crossAx val="1036426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316707</xdr:colOff>
      <xdr:row>34</xdr:row>
      <xdr:rowOff>157162</xdr:rowOff>
    </xdr:from>
    <xdr:to>
      <xdr:col>5</xdr:col>
      <xdr:colOff>442913</xdr:colOff>
      <xdr:row>38</xdr:row>
      <xdr:rowOff>107609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555082" y="6777037"/>
          <a:ext cx="1947862" cy="71244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561975</xdr:colOff>
      <xdr:row>46</xdr:row>
      <xdr:rowOff>57150</xdr:rowOff>
    </xdr:from>
    <xdr:to>
      <xdr:col>13</xdr:col>
      <xdr:colOff>66675</xdr:colOff>
      <xdr:row>50</xdr:row>
      <xdr:rowOff>161925</xdr:rowOff>
    </xdr:to>
    <xdr:pic>
      <xdr:nvPicPr>
        <xdr:cNvPr id="5" name="Picture 1" descr="http://i.investopedia.com/inv/dictionary/terms/modified%20duration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29150" y="8972550"/>
          <a:ext cx="2809875" cy="9429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600075</xdr:colOff>
      <xdr:row>16</xdr:row>
      <xdr:rowOff>85725</xdr:rowOff>
    </xdr:from>
    <xdr:to>
      <xdr:col>6</xdr:col>
      <xdr:colOff>47381</xdr:colOff>
      <xdr:row>19</xdr:row>
      <xdr:rowOff>38100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448050" y="3209925"/>
          <a:ext cx="1276106" cy="5238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-1</xdr:rowOff>
    </xdr:from>
    <xdr:to>
      <xdr:col>11</xdr:col>
      <xdr:colOff>83344</xdr:colOff>
      <xdr:row>13</xdr:row>
      <xdr:rowOff>59530</xdr:rowOff>
    </xdr:to>
    <xdr:pic>
      <xdr:nvPicPr>
        <xdr:cNvPr id="7" name="Picture 6"/>
        <xdr:cNvPicPr/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452813" y="1595437"/>
          <a:ext cx="3167062" cy="1012031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452438</xdr:colOff>
      <xdr:row>40</xdr:row>
      <xdr:rowOff>47625</xdr:rowOff>
    </xdr:from>
    <xdr:to>
      <xdr:col>18</xdr:col>
      <xdr:colOff>392907</xdr:colOff>
      <xdr:row>45</xdr:row>
      <xdr:rowOff>142168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88969" y="7810500"/>
          <a:ext cx="3798094" cy="1047043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0</xdr:colOff>
      <xdr:row>29</xdr:row>
      <xdr:rowOff>0</xdr:rowOff>
    </xdr:from>
    <xdr:to>
      <xdr:col>25</xdr:col>
      <xdr:colOff>86702</xdr:colOff>
      <xdr:row>31</xdr:row>
      <xdr:rowOff>142875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394156" y="5667375"/>
          <a:ext cx="4325327" cy="5238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7</xdr:row>
      <xdr:rowOff>133349</xdr:rowOff>
    </xdr:from>
    <xdr:to>
      <xdr:col>19</xdr:col>
      <xdr:colOff>590550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44</xdr:row>
      <xdr:rowOff>0</xdr:rowOff>
    </xdr:from>
    <xdr:to>
      <xdr:col>16</xdr:col>
      <xdr:colOff>58127</xdr:colOff>
      <xdr:row>46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991225" y="8534400"/>
          <a:ext cx="4325327" cy="5238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16</xdr:row>
      <xdr:rowOff>161925</xdr:rowOff>
    </xdr:from>
    <xdr:to>
      <xdr:col>7</xdr:col>
      <xdr:colOff>590550</xdr:colOff>
      <xdr:row>31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228600</xdr:colOff>
      <xdr:row>4</xdr:row>
      <xdr:rowOff>228600</xdr:rowOff>
    </xdr:from>
    <xdr:ext cx="4676775" cy="752475"/>
    <xdr:pic>
      <xdr:nvPicPr>
        <xdr:cNvPr id="2" name="Picture 1" descr="example_207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00" y="1228725"/>
          <a:ext cx="4676775" cy="7524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3</xdr:row>
      <xdr:rowOff>161925</xdr:rowOff>
    </xdr:from>
    <xdr:to>
      <xdr:col>7</xdr:col>
      <xdr:colOff>247650</xdr:colOff>
      <xdr:row>11</xdr:row>
      <xdr:rowOff>152400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66900" y="733425"/>
          <a:ext cx="3038475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indexmundi.com/commodities/?commodity=propane&amp;months=1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6"/>
  <sheetViews>
    <sheetView topLeftCell="A19" zoomScale="80" zoomScaleNormal="80" workbookViewId="0">
      <selection activeCell="B37" sqref="B37"/>
    </sheetView>
  </sheetViews>
  <sheetFormatPr defaultRowHeight="15"/>
  <cols>
    <col min="1" max="1" width="24" bestFit="1" customWidth="1"/>
    <col min="2" max="2" width="9.5703125" bestFit="1" customWidth="1"/>
    <col min="7" max="7" width="3.28515625" customWidth="1"/>
    <col min="9" max="9" width="3.42578125" customWidth="1"/>
    <col min="11" max="11" width="3.140625" customWidth="1"/>
    <col min="13" max="13" width="3.140625" customWidth="1"/>
    <col min="22" max="22" width="8.85546875" bestFit="1" customWidth="1"/>
  </cols>
  <sheetData>
    <row r="1" spans="1:2" ht="21">
      <c r="A1" s="1" t="s">
        <v>0</v>
      </c>
    </row>
    <row r="2" spans="1:2">
      <c r="A2" t="s">
        <v>1</v>
      </c>
    </row>
    <row r="3" spans="1:2">
      <c r="A3" s="18" t="s">
        <v>2</v>
      </c>
      <c r="B3" s="3">
        <v>1000</v>
      </c>
    </row>
    <row r="4" spans="1:2">
      <c r="A4" s="18" t="s">
        <v>3</v>
      </c>
      <c r="B4" s="3">
        <v>10</v>
      </c>
    </row>
    <row r="5" spans="1:2">
      <c r="A5" s="18" t="s">
        <v>4</v>
      </c>
      <c r="B5" s="3">
        <v>20</v>
      </c>
    </row>
    <row r="6" spans="1:2">
      <c r="A6" s="18" t="s">
        <v>5</v>
      </c>
      <c r="B6" s="3">
        <v>1.4999999999999999E-2</v>
      </c>
    </row>
    <row r="7" spans="1:2">
      <c r="A7" s="18" t="s">
        <v>6</v>
      </c>
      <c r="B7" s="3">
        <f>0.015*1000</f>
        <v>15</v>
      </c>
    </row>
    <row r="8" spans="1:2">
      <c r="A8" s="18" t="s">
        <v>7</v>
      </c>
      <c r="B8" s="3">
        <v>1.4999999999999999E-2</v>
      </c>
    </row>
    <row r="10" spans="1:2">
      <c r="A10" s="18" t="s">
        <v>129</v>
      </c>
      <c r="B10">
        <v>15</v>
      </c>
    </row>
    <row r="11" spans="1:2">
      <c r="A11" s="18" t="s">
        <v>130</v>
      </c>
      <c r="B11">
        <f>(1-(1/((1+B8)^B5)))/(B8)</f>
        <v>17.168638785081793</v>
      </c>
    </row>
    <row r="12" spans="1:2">
      <c r="A12" s="18" t="s">
        <v>131</v>
      </c>
      <c r="B12">
        <f>B3/((1+B8)^B5)</f>
        <v>742.47041822377321</v>
      </c>
    </row>
    <row r="13" spans="1:2">
      <c r="A13" s="18" t="s">
        <v>8</v>
      </c>
      <c r="B13" s="4">
        <f>B10*B11+B12</f>
        <v>1000.0000000000001</v>
      </c>
    </row>
    <row r="15" spans="1:2">
      <c r="A15" t="s">
        <v>9</v>
      </c>
    </row>
    <row r="17" spans="1:21">
      <c r="A17" s="18" t="s">
        <v>10</v>
      </c>
      <c r="B17" s="3">
        <v>100</v>
      </c>
    </row>
    <row r="18" spans="1:21">
      <c r="A18" s="18" t="s">
        <v>11</v>
      </c>
      <c r="B18" s="3">
        <v>9</v>
      </c>
    </row>
    <row r="19" spans="1:21">
      <c r="A19" s="18" t="s">
        <v>12</v>
      </c>
      <c r="B19" s="3">
        <v>7.3999999999999996E-2</v>
      </c>
    </row>
    <row r="21" spans="1:21">
      <c r="A21" s="18" t="s">
        <v>8</v>
      </c>
      <c r="B21" s="4">
        <f>B17/((1+B19)^B18)</f>
        <v>52.597059819202528</v>
      </c>
    </row>
    <row r="24" spans="1:21" s="5" customFormat="1"/>
    <row r="26" spans="1:21" ht="21">
      <c r="A26" s="1" t="s">
        <v>13</v>
      </c>
    </row>
    <row r="27" spans="1:21">
      <c r="A27" t="s">
        <v>14</v>
      </c>
    </row>
    <row r="28" spans="1:21">
      <c r="A28" s="18" t="s">
        <v>15</v>
      </c>
      <c r="B28" s="3">
        <v>1010</v>
      </c>
      <c r="D28">
        <f>(B30*(1+B36)^-1)+(B30*(1+B36)^-2)+((B30+B31)*(1+B36)^-1)</f>
        <v>1010.000000422687</v>
      </c>
    </row>
    <row r="29" spans="1:21">
      <c r="A29" s="18" t="s">
        <v>16</v>
      </c>
      <c r="B29" s="3">
        <v>0.03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</row>
    <row r="30" spans="1:21">
      <c r="A30" s="18" t="s">
        <v>17</v>
      </c>
      <c r="B30" s="3">
        <f>B29*B31</f>
        <v>30</v>
      </c>
      <c r="C30" s="48"/>
      <c r="D30" s="48"/>
      <c r="E30" s="56"/>
      <c r="F30" s="49"/>
      <c r="G30" s="56"/>
      <c r="H30" s="49"/>
      <c r="I30" s="56"/>
      <c r="J30" s="49"/>
      <c r="K30" s="56"/>
      <c r="L30" s="48"/>
      <c r="M30" s="53"/>
      <c r="O30" s="57"/>
      <c r="Q30" s="53"/>
      <c r="S30" s="53"/>
      <c r="U30" s="53"/>
    </row>
    <row r="31" spans="1:21">
      <c r="A31" s="18" t="s">
        <v>18</v>
      </c>
      <c r="B31" s="3">
        <v>1000</v>
      </c>
      <c r="C31" s="48"/>
      <c r="D31" s="48"/>
      <c r="E31" s="56"/>
      <c r="F31" s="49"/>
      <c r="G31" s="56"/>
      <c r="H31" s="49"/>
      <c r="I31" s="56"/>
      <c r="J31" s="49"/>
      <c r="K31" s="56"/>
      <c r="L31" s="48"/>
      <c r="M31" s="53"/>
      <c r="O31" s="57"/>
      <c r="Q31" s="53"/>
      <c r="S31" s="53"/>
      <c r="U31" s="53"/>
    </row>
    <row r="32" spans="1:21">
      <c r="A32" s="18" t="s">
        <v>19</v>
      </c>
      <c r="B32" s="3">
        <v>3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</row>
    <row r="33" spans="1:22">
      <c r="A33" s="7"/>
      <c r="B33" s="8"/>
      <c r="F33" s="9"/>
    </row>
    <row r="35" spans="1:22">
      <c r="A35" s="18" t="s">
        <v>20</v>
      </c>
      <c r="B35" s="10">
        <f>B30/B28</f>
        <v>2.9702970297029702E-2</v>
      </c>
    </row>
    <row r="36" spans="1:22">
      <c r="A36" s="52" t="s">
        <v>21</v>
      </c>
      <c r="B36" s="10">
        <v>7.7082204747872349E-2</v>
      </c>
      <c r="N36" s="18" t="s">
        <v>129</v>
      </c>
      <c r="O36" s="3">
        <f>B30+((B31-B28)/(B32))</f>
        <v>26.666666666666668</v>
      </c>
    </row>
    <row r="37" spans="1:22">
      <c r="A37" s="18" t="s">
        <v>22</v>
      </c>
      <c r="B37" s="10">
        <f>O36/O37</f>
        <v>2.6533996683250415E-2</v>
      </c>
      <c r="N37" s="18" t="s">
        <v>130</v>
      </c>
      <c r="O37" s="3">
        <f>(B31+B28)/2</f>
        <v>1005</v>
      </c>
    </row>
    <row r="41" spans="1:22">
      <c r="A41" s="18" t="s">
        <v>23</v>
      </c>
      <c r="B41" s="18"/>
      <c r="C41" s="18"/>
      <c r="D41" s="18"/>
      <c r="U41" s="47"/>
      <c r="V41" s="47"/>
    </row>
    <row r="42" spans="1:22">
      <c r="A42" s="3" t="s">
        <v>136</v>
      </c>
      <c r="B42" s="12"/>
      <c r="C42" s="12"/>
      <c r="D42" s="12"/>
      <c r="E42" s="12"/>
      <c r="U42" s="47"/>
    </row>
    <row r="43" spans="1:22">
      <c r="A43" s="12"/>
      <c r="B43" s="12"/>
      <c r="C43" s="12"/>
      <c r="D43" s="12"/>
      <c r="E43" s="12"/>
      <c r="U43" s="47"/>
    </row>
    <row r="44" spans="1:22">
      <c r="A44" s="12"/>
      <c r="B44" s="12"/>
      <c r="C44" s="12"/>
      <c r="D44" s="12"/>
      <c r="E44" s="12"/>
    </row>
    <row r="45" spans="1:22">
      <c r="A45" s="12"/>
      <c r="B45" s="12"/>
      <c r="C45" s="12"/>
      <c r="D45" s="12"/>
      <c r="E45" s="12"/>
    </row>
    <row r="47" spans="1:22" ht="21">
      <c r="A47" s="1" t="s">
        <v>24</v>
      </c>
    </row>
    <row r="48" spans="1:22">
      <c r="P48" s="47" t="s">
        <v>137</v>
      </c>
      <c r="Q48">
        <f>(1*B30)*(1+B36)^-1</f>
        <v>27.853027250619668</v>
      </c>
      <c r="R48">
        <f>($B$32*$B$31)/(1+$B$36)^$B$32</f>
        <v>2400.9034890868643</v>
      </c>
      <c r="S48">
        <v>1010</v>
      </c>
      <c r="T48">
        <f>(Q48+R48)/S48</f>
        <v>2.4047094221163205</v>
      </c>
    </row>
    <row r="49" spans="1:20">
      <c r="A49" s="18" t="s">
        <v>25</v>
      </c>
      <c r="B49" s="3">
        <f>SUM(T48:T50)</f>
        <v>7.2814950570812567</v>
      </c>
      <c r="C49" s="3" t="s">
        <v>26</v>
      </c>
      <c r="P49" s="47" t="s">
        <v>138</v>
      </c>
      <c r="Q49" s="47">
        <f>(2*B30)*(1+B36)^-2</f>
        <v>51.719408468250784</v>
      </c>
      <c r="R49" s="47">
        <f t="shared" ref="R49:R50" si="0">($B$32*$B$31)/(1+$B$36)^$B$32</f>
        <v>2400.9034890868643</v>
      </c>
      <c r="S49" s="47">
        <v>1010</v>
      </c>
      <c r="T49" s="47">
        <f t="shared" ref="T49:T50" si="1">(Q49+R49)/S49</f>
        <v>2.4283395025298171</v>
      </c>
    </row>
    <row r="50" spans="1:20">
      <c r="A50" s="18" t="s">
        <v>27</v>
      </c>
      <c r="B50" s="3"/>
      <c r="C50" s="3" t="s">
        <v>28</v>
      </c>
      <c r="P50" s="47" t="s">
        <v>145</v>
      </c>
      <c r="Q50">
        <f>(3*B30)*(1+B36)^-3</f>
        <v>72.02710467260593</v>
      </c>
      <c r="R50" s="47">
        <f t="shared" si="0"/>
        <v>2400.9034890868643</v>
      </c>
      <c r="S50" s="47">
        <v>1010</v>
      </c>
      <c r="T50" s="47">
        <f t="shared" si="1"/>
        <v>2.4484461324351194</v>
      </c>
    </row>
    <row r="52" spans="1:20">
      <c r="A52" s="18" t="s">
        <v>29</v>
      </c>
    </row>
    <row r="53" spans="1:20" ht="35.25" customHeight="1">
      <c r="A53" s="54"/>
      <c r="B53" s="54"/>
      <c r="C53" s="54"/>
      <c r="D53" s="54"/>
      <c r="E53" s="54"/>
    </row>
    <row r="54" spans="1:20" ht="51.75" customHeight="1">
      <c r="A54" s="55"/>
      <c r="B54" s="55"/>
      <c r="C54" s="55"/>
      <c r="D54" s="55"/>
      <c r="E54" s="55"/>
    </row>
    <row r="55" spans="1:20">
      <c r="A55" s="3"/>
      <c r="B55" s="3"/>
      <c r="C55" s="3"/>
      <c r="D55" s="3"/>
      <c r="E55" s="3"/>
    </row>
    <row r="57" spans="1:20">
      <c r="A57" s="18" t="s">
        <v>56</v>
      </c>
      <c r="B57" s="18"/>
      <c r="C57" s="18"/>
      <c r="D57" s="18"/>
      <c r="E57" s="18"/>
      <c r="F57" s="18"/>
    </row>
    <row r="58" spans="1:20">
      <c r="A58" s="3"/>
      <c r="B58" s="3"/>
      <c r="C58" s="3"/>
      <c r="D58" s="3"/>
      <c r="E58" s="3"/>
      <c r="F58" s="3"/>
    </row>
    <row r="59" spans="1:20">
      <c r="A59" s="3"/>
      <c r="B59" s="3"/>
      <c r="C59" s="3"/>
      <c r="D59" s="3"/>
      <c r="E59" s="3"/>
      <c r="F59" s="3"/>
    </row>
    <row r="60" spans="1:20">
      <c r="A60" s="3"/>
      <c r="B60" s="3"/>
      <c r="C60" s="3"/>
      <c r="D60" s="3"/>
      <c r="E60" s="3"/>
      <c r="F60" s="3"/>
    </row>
    <row r="61" spans="1:20">
      <c r="A61" s="3"/>
      <c r="B61" s="3"/>
      <c r="C61" s="3"/>
      <c r="D61" s="3"/>
      <c r="E61" s="3"/>
      <c r="F61" s="3"/>
    </row>
    <row r="62" spans="1:20">
      <c r="A62" s="3"/>
      <c r="B62" s="3"/>
      <c r="C62" s="3"/>
      <c r="D62" s="3"/>
      <c r="E62" s="3"/>
      <c r="F62" s="3"/>
    </row>
    <row r="63" spans="1:20">
      <c r="A63" s="3"/>
      <c r="B63" s="3"/>
      <c r="C63" s="3"/>
      <c r="D63" s="3"/>
      <c r="E63" s="3"/>
      <c r="F63" s="3"/>
    </row>
    <row r="64" spans="1:20">
      <c r="A64" s="3"/>
      <c r="B64" s="3"/>
      <c r="C64" s="3"/>
      <c r="D64" s="3"/>
      <c r="E64" s="3"/>
      <c r="F64" s="3"/>
    </row>
    <row r="65" spans="1:6">
      <c r="A65" s="3"/>
      <c r="B65" s="3"/>
      <c r="C65" s="3"/>
      <c r="D65" s="3"/>
      <c r="E65" s="3"/>
      <c r="F65" s="3"/>
    </row>
    <row r="66" spans="1:6">
      <c r="A66" s="3"/>
      <c r="B66" s="3"/>
      <c r="C66" s="3"/>
      <c r="D66" s="3"/>
      <c r="E66" s="3"/>
      <c r="F66" s="3"/>
    </row>
  </sheetData>
  <mergeCells count="11">
    <mergeCell ref="Q30:Q31"/>
    <mergeCell ref="S30:S31"/>
    <mergeCell ref="U30:U31"/>
    <mergeCell ref="A53:E53"/>
    <mergeCell ref="A54:E54"/>
    <mergeCell ref="E30:E31"/>
    <mergeCell ref="G30:G31"/>
    <mergeCell ref="I30:I31"/>
    <mergeCell ref="K30:K31"/>
    <mergeCell ref="M30:M31"/>
    <mergeCell ref="O30:O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9"/>
  <sheetViews>
    <sheetView topLeftCell="A40" zoomScaleNormal="100" workbookViewId="0">
      <selection activeCell="A56" sqref="A56"/>
    </sheetView>
  </sheetViews>
  <sheetFormatPr defaultRowHeight="15"/>
  <cols>
    <col min="1" max="1" width="10.7109375" bestFit="1" customWidth="1"/>
    <col min="2" max="2" width="11.5703125" customWidth="1"/>
    <col min="3" max="3" width="9.85546875" bestFit="1" customWidth="1"/>
    <col min="5" max="5" width="12" bestFit="1" customWidth="1"/>
  </cols>
  <sheetData>
    <row r="1" spans="1:12" ht="21">
      <c r="A1" s="13" t="s">
        <v>30</v>
      </c>
    </row>
    <row r="2" spans="1:12">
      <c r="A2" s="14" t="s">
        <v>31</v>
      </c>
      <c r="B2" s="14" t="s">
        <v>32</v>
      </c>
      <c r="C2" s="14" t="s">
        <v>33</v>
      </c>
      <c r="D2" s="14" t="s">
        <v>34</v>
      </c>
      <c r="E2" s="14" t="s">
        <v>35</v>
      </c>
      <c r="F2" s="14" t="s">
        <v>36</v>
      </c>
      <c r="G2" s="14" t="s">
        <v>37</v>
      </c>
      <c r="H2" s="14" t="s">
        <v>38</v>
      </c>
      <c r="I2" s="14" t="s">
        <v>39</v>
      </c>
      <c r="J2" s="14" t="s">
        <v>40</v>
      </c>
      <c r="K2" s="14" t="s">
        <v>41</v>
      </c>
      <c r="L2" s="14" t="s">
        <v>42</v>
      </c>
    </row>
    <row r="3" spans="1:12">
      <c r="A3" s="60">
        <v>42851</v>
      </c>
      <c r="B3" s="61">
        <v>0.74</v>
      </c>
      <c r="C3" s="61">
        <v>0.83</v>
      </c>
      <c r="D3" s="61">
        <v>0.99</v>
      </c>
      <c r="E3" s="61">
        <v>1.07</v>
      </c>
      <c r="F3" s="61">
        <v>1.28</v>
      </c>
      <c r="G3" s="61">
        <v>1.46</v>
      </c>
      <c r="H3" s="61">
        <v>1.84</v>
      </c>
      <c r="I3" s="61">
        <v>2.12</v>
      </c>
      <c r="J3" s="61">
        <v>2.3199999999999998</v>
      </c>
      <c r="K3" s="61">
        <v>2.69</v>
      </c>
      <c r="L3" s="61">
        <v>2.97</v>
      </c>
    </row>
    <row r="4" spans="1:12">
      <c r="A4" s="60">
        <v>42881</v>
      </c>
      <c r="B4" s="61">
        <v>0.75</v>
      </c>
      <c r="C4" s="61">
        <v>0.94</v>
      </c>
      <c r="D4" s="61">
        <v>1.08</v>
      </c>
      <c r="E4" s="61">
        <v>1.17</v>
      </c>
      <c r="F4" s="61">
        <v>1.3</v>
      </c>
      <c r="G4" s="61">
        <v>1.46</v>
      </c>
      <c r="H4" s="61">
        <v>1.79</v>
      </c>
      <c r="I4" s="61">
        <v>2.06</v>
      </c>
      <c r="J4" s="61">
        <v>2.25</v>
      </c>
      <c r="K4" s="61">
        <v>2.65</v>
      </c>
      <c r="L4" s="61">
        <v>2.92</v>
      </c>
    </row>
    <row r="5" spans="1:12">
      <c r="A5" s="60">
        <v>42912</v>
      </c>
      <c r="B5" s="61">
        <v>0.81</v>
      </c>
      <c r="C5" s="61">
        <v>0.99</v>
      </c>
      <c r="D5" s="61">
        <v>1.1000000000000001</v>
      </c>
      <c r="E5" s="61">
        <v>1.2</v>
      </c>
      <c r="F5" s="61">
        <v>1.36</v>
      </c>
      <c r="G5" s="61">
        <v>1.48</v>
      </c>
      <c r="H5" s="61">
        <v>1.77</v>
      </c>
      <c r="I5" s="61">
        <v>1.97</v>
      </c>
      <c r="J5" s="61">
        <v>2.14</v>
      </c>
      <c r="K5" s="61">
        <v>2.46</v>
      </c>
      <c r="L5" s="61">
        <v>2.7</v>
      </c>
    </row>
    <row r="6" spans="1:12">
      <c r="A6" s="60">
        <v>42942</v>
      </c>
      <c r="B6" s="61">
        <v>1.02</v>
      </c>
      <c r="C6" s="61">
        <v>1.1299999999999999</v>
      </c>
      <c r="D6" s="61">
        <v>1.1399999999999999</v>
      </c>
      <c r="E6" s="61">
        <v>1.23</v>
      </c>
      <c r="F6" s="61">
        <v>1.36</v>
      </c>
      <c r="G6" s="61">
        <v>1.5</v>
      </c>
      <c r="H6" s="61">
        <v>1.83</v>
      </c>
      <c r="I6" s="61">
        <v>2.09</v>
      </c>
      <c r="J6" s="61">
        <v>2.29</v>
      </c>
      <c r="K6" s="61">
        <v>2.65</v>
      </c>
      <c r="L6" s="61">
        <v>2.89</v>
      </c>
    </row>
    <row r="12" spans="1:12">
      <c r="A12" s="18" t="s">
        <v>43</v>
      </c>
      <c r="B12" s="18" t="s">
        <v>44</v>
      </c>
      <c r="C12" s="18"/>
      <c r="D12" s="18"/>
      <c r="E12" s="18"/>
    </row>
    <row r="13" spans="1:12">
      <c r="A13" s="18"/>
      <c r="B13" s="19">
        <v>42851</v>
      </c>
      <c r="C13" s="19">
        <v>42881</v>
      </c>
      <c r="D13" s="19">
        <v>42912</v>
      </c>
      <c r="E13" s="15">
        <v>42942</v>
      </c>
    </row>
    <row r="14" spans="1:12">
      <c r="A14" s="18">
        <f>1/12</f>
        <v>8.3333333333333329E-2</v>
      </c>
      <c r="B14" s="61">
        <v>0.74</v>
      </c>
      <c r="C14" s="61">
        <v>0.75</v>
      </c>
      <c r="D14" s="61">
        <v>0.81</v>
      </c>
      <c r="E14" s="61">
        <v>1.02</v>
      </c>
    </row>
    <row r="15" spans="1:12">
      <c r="A15" s="18">
        <f>3/12</f>
        <v>0.25</v>
      </c>
      <c r="B15" s="61">
        <v>0.83</v>
      </c>
      <c r="C15" s="61">
        <v>0.94</v>
      </c>
      <c r="D15" s="61">
        <v>0.99</v>
      </c>
      <c r="E15" s="61">
        <v>1.1299999999999999</v>
      </c>
    </row>
    <row r="16" spans="1:12">
      <c r="A16" s="18">
        <f>6/12</f>
        <v>0.5</v>
      </c>
      <c r="B16" s="61">
        <v>0.99</v>
      </c>
      <c r="C16" s="61">
        <v>1.08</v>
      </c>
      <c r="D16" s="61">
        <v>1.1000000000000001</v>
      </c>
      <c r="E16" s="61">
        <v>1.1399999999999999</v>
      </c>
    </row>
    <row r="17" spans="1:7">
      <c r="A17" s="18">
        <v>1</v>
      </c>
      <c r="B17" s="61">
        <v>1.07</v>
      </c>
      <c r="C17" s="61">
        <v>1.17</v>
      </c>
      <c r="D17" s="61">
        <v>1.2</v>
      </c>
      <c r="E17" s="61">
        <v>1.23</v>
      </c>
    </row>
    <row r="18" spans="1:7">
      <c r="A18" s="18">
        <v>2</v>
      </c>
      <c r="B18" s="61">
        <v>1.28</v>
      </c>
      <c r="C18" s="61">
        <v>1.3</v>
      </c>
      <c r="D18" s="61">
        <v>1.36</v>
      </c>
      <c r="E18" s="61">
        <v>1.36</v>
      </c>
    </row>
    <row r="19" spans="1:7">
      <c r="A19" s="18">
        <v>3</v>
      </c>
      <c r="B19" s="61">
        <v>1.46</v>
      </c>
      <c r="C19" s="61">
        <v>1.46</v>
      </c>
      <c r="D19" s="61">
        <v>1.48</v>
      </c>
      <c r="E19" s="61">
        <v>1.5</v>
      </c>
    </row>
    <row r="20" spans="1:7">
      <c r="A20" s="18">
        <v>5</v>
      </c>
      <c r="B20" s="61">
        <v>1.84</v>
      </c>
      <c r="C20" s="61">
        <v>1.79</v>
      </c>
      <c r="D20" s="61">
        <v>1.77</v>
      </c>
      <c r="E20" s="61">
        <v>1.83</v>
      </c>
    </row>
    <row r="21" spans="1:7">
      <c r="A21" s="18">
        <v>7</v>
      </c>
      <c r="B21" s="61">
        <v>2.12</v>
      </c>
      <c r="C21" s="61">
        <v>2.06</v>
      </c>
      <c r="D21" s="61">
        <v>1.97</v>
      </c>
      <c r="E21" s="61">
        <v>2.09</v>
      </c>
    </row>
    <row r="22" spans="1:7">
      <c r="A22" s="18">
        <v>10</v>
      </c>
      <c r="B22" s="61">
        <v>2.3199999999999998</v>
      </c>
      <c r="C22" s="61">
        <v>2.25</v>
      </c>
      <c r="D22" s="61">
        <v>2.14</v>
      </c>
      <c r="E22" s="61">
        <v>2.29</v>
      </c>
    </row>
    <row r="23" spans="1:7">
      <c r="A23" s="18">
        <v>20</v>
      </c>
      <c r="B23" s="61">
        <v>2.69</v>
      </c>
      <c r="C23" s="61">
        <v>2.65</v>
      </c>
      <c r="D23" s="61">
        <v>2.46</v>
      </c>
      <c r="E23" s="61">
        <v>2.65</v>
      </c>
    </row>
    <row r="24" spans="1:7">
      <c r="A24" s="18">
        <v>30</v>
      </c>
      <c r="B24" s="61">
        <v>2.97</v>
      </c>
      <c r="C24" s="61">
        <v>2.92</v>
      </c>
      <c r="D24" s="61">
        <v>2.7</v>
      </c>
      <c r="E24" s="61">
        <v>2.89</v>
      </c>
    </row>
    <row r="27" spans="1:7">
      <c r="A27" t="s">
        <v>60</v>
      </c>
      <c r="B27" t="s">
        <v>61</v>
      </c>
    </row>
    <row r="28" spans="1:7">
      <c r="A28" t="s">
        <v>62</v>
      </c>
      <c r="B28" t="s">
        <v>63</v>
      </c>
    </row>
    <row r="29" spans="1:7">
      <c r="A29" t="s">
        <v>64</v>
      </c>
      <c r="B29" t="s">
        <v>65</v>
      </c>
    </row>
    <row r="30" spans="1:7">
      <c r="A30" s="18" t="s">
        <v>45</v>
      </c>
      <c r="B30" s="18"/>
      <c r="C30" s="18"/>
      <c r="D30" s="18"/>
      <c r="E30" s="18"/>
      <c r="F30" s="18"/>
      <c r="G30" s="18" t="s">
        <v>68</v>
      </c>
    </row>
    <row r="31" spans="1:7">
      <c r="A31" s="3" t="s">
        <v>57</v>
      </c>
      <c r="B31" s="3"/>
      <c r="C31" s="3"/>
      <c r="D31" s="3"/>
      <c r="E31" s="3"/>
      <c r="F31" s="3"/>
      <c r="G31" s="3" t="s">
        <v>146</v>
      </c>
    </row>
    <row r="32" spans="1:7">
      <c r="A32" s="3" t="s">
        <v>58</v>
      </c>
      <c r="B32" s="3"/>
      <c r="C32" s="3"/>
      <c r="D32" s="3"/>
      <c r="E32" s="3"/>
      <c r="F32" s="3"/>
      <c r="G32" s="3" t="s">
        <v>146</v>
      </c>
    </row>
    <row r="33" spans="1:10">
      <c r="A33" s="3" t="s">
        <v>59</v>
      </c>
      <c r="B33" s="3"/>
      <c r="C33" s="3"/>
      <c r="D33" s="3"/>
      <c r="E33" s="3"/>
      <c r="F33" s="3"/>
      <c r="G33" s="3" t="s">
        <v>2</v>
      </c>
    </row>
    <row r="34" spans="1:10">
      <c r="A34" s="3" t="s">
        <v>66</v>
      </c>
      <c r="B34" s="3"/>
      <c r="C34" s="3"/>
      <c r="D34" s="3"/>
      <c r="E34" s="3"/>
      <c r="F34" s="3"/>
      <c r="G34" s="3" t="s">
        <v>2</v>
      </c>
    </row>
    <row r="35" spans="1:10">
      <c r="A35" s="3" t="s">
        <v>67</v>
      </c>
      <c r="B35" s="3"/>
      <c r="C35" s="3"/>
      <c r="D35" s="3"/>
      <c r="E35" s="3"/>
      <c r="F35" s="3"/>
      <c r="G35" s="3" t="s">
        <v>146</v>
      </c>
    </row>
    <row r="36" spans="1:10">
      <c r="A36" s="3"/>
      <c r="B36" s="3"/>
      <c r="C36" s="3"/>
      <c r="D36" s="3"/>
      <c r="E36" s="3"/>
      <c r="F36" s="3"/>
      <c r="G36" s="3"/>
    </row>
    <row r="39" spans="1:10" ht="21">
      <c r="A39" s="13" t="s">
        <v>46</v>
      </c>
    </row>
    <row r="40" spans="1:10">
      <c r="I40" t="s">
        <v>147</v>
      </c>
    </row>
    <row r="41" spans="1:10">
      <c r="A41" s="16">
        <f>E13</f>
        <v>42942</v>
      </c>
      <c r="J41" t="s">
        <v>148</v>
      </c>
    </row>
    <row r="42" spans="1:10">
      <c r="A42" s="18" t="s">
        <v>2</v>
      </c>
      <c r="B42" s="18"/>
      <c r="C42" s="3">
        <v>1000</v>
      </c>
      <c r="J42" t="s">
        <v>149</v>
      </c>
    </row>
    <row r="43" spans="1:10">
      <c r="A43" s="18" t="s">
        <v>47</v>
      </c>
      <c r="B43" s="18"/>
      <c r="C43" s="17">
        <v>0.01</v>
      </c>
    </row>
    <row r="44" spans="1:10">
      <c r="A44" s="18" t="s">
        <v>6</v>
      </c>
      <c r="B44" s="18"/>
      <c r="C44" s="3">
        <f>C43*C42</f>
        <v>10</v>
      </c>
    </row>
    <row r="45" spans="1:10">
      <c r="A45" s="18" t="s">
        <v>48</v>
      </c>
      <c r="B45" s="18"/>
      <c r="C45" s="3">
        <v>3</v>
      </c>
    </row>
    <row r="46" spans="1:10">
      <c r="A46" s="18" t="s">
        <v>49</v>
      </c>
      <c r="B46" s="18"/>
      <c r="D46" t="s">
        <v>50</v>
      </c>
    </row>
    <row r="47" spans="1:10">
      <c r="A47" s="18"/>
      <c r="B47" s="18" t="s">
        <v>51</v>
      </c>
      <c r="C47" s="62">
        <v>1.23</v>
      </c>
      <c r="D47" s="3"/>
      <c r="E47" s="3">
        <f>$C$44*(1+C47)^-1</f>
        <v>4.4843049327354265</v>
      </c>
    </row>
    <row r="48" spans="1:10">
      <c r="A48" s="18"/>
      <c r="B48" s="18" t="s">
        <v>52</v>
      </c>
      <c r="C48" s="62">
        <v>1.36</v>
      </c>
      <c r="D48" s="3"/>
      <c r="E48" s="3">
        <f>$C$44*(1+C48)^-2</f>
        <v>1.7954610744039066</v>
      </c>
    </row>
    <row r="49" spans="1:8">
      <c r="A49" s="18"/>
      <c r="B49" s="18" t="s">
        <v>53</v>
      </c>
      <c r="C49" s="62">
        <v>1.5</v>
      </c>
      <c r="D49" s="3"/>
      <c r="E49" s="3">
        <f>(C44+C42)*(1+C49)^-3</f>
        <v>64.64</v>
      </c>
    </row>
    <row r="51" spans="1:8">
      <c r="A51" s="18" t="s">
        <v>8</v>
      </c>
      <c r="B51" s="18">
        <f>SUM(E47:E49)</f>
        <v>70.91976600713933</v>
      </c>
      <c r="E51" s="3"/>
      <c r="G51" s="6"/>
      <c r="H51" s="6"/>
    </row>
    <row r="54" spans="1:8">
      <c r="A54" s="18" t="s">
        <v>54</v>
      </c>
      <c r="B54" s="18"/>
      <c r="C54" s="18"/>
      <c r="D54" s="18"/>
      <c r="E54" s="18"/>
      <c r="F54" s="18"/>
    </row>
    <row r="55" spans="1:8">
      <c r="A55" s="3" t="s">
        <v>150</v>
      </c>
      <c r="B55" s="3"/>
      <c r="C55" s="3"/>
      <c r="D55" s="3"/>
      <c r="E55" s="3"/>
    </row>
    <row r="56" spans="1:8">
      <c r="A56" s="3"/>
      <c r="B56" s="3"/>
      <c r="C56" s="3"/>
      <c r="D56" s="3"/>
      <c r="E56" s="3"/>
    </row>
    <row r="57" spans="1:8">
      <c r="A57" s="3"/>
      <c r="B57" s="3"/>
      <c r="C57" s="3"/>
      <c r="D57" s="3"/>
      <c r="E57" s="3"/>
    </row>
    <row r="58" spans="1:8">
      <c r="A58" s="3"/>
      <c r="B58" s="3"/>
      <c r="C58" s="3"/>
      <c r="D58" s="3"/>
      <c r="E58" s="3"/>
    </row>
    <row r="59" spans="1:8">
      <c r="A59" s="3"/>
      <c r="B59" s="3"/>
      <c r="C59" s="3"/>
      <c r="D59" s="3"/>
      <c r="E59" s="3"/>
    </row>
  </sheetData>
  <pageMargins left="0.7" right="0.7" top="0.75" bottom="0.75" header="0.3" footer="0.3"/>
  <pageSetup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R31"/>
  <sheetViews>
    <sheetView zoomScale="90" zoomScaleNormal="90" workbookViewId="0">
      <selection activeCell="R27" sqref="R27"/>
    </sheetView>
  </sheetViews>
  <sheetFormatPr defaultRowHeight="15"/>
  <cols>
    <col min="1" max="1" width="13.28515625" bestFit="1" customWidth="1"/>
    <col min="15" max="15" width="15.5703125" customWidth="1"/>
    <col min="17" max="17" width="28" customWidth="1"/>
  </cols>
  <sheetData>
    <row r="3" spans="1:12">
      <c r="A3" s="14" t="s">
        <v>31</v>
      </c>
      <c r="B3" s="14" t="s">
        <v>32</v>
      </c>
      <c r="C3" s="14" t="s">
        <v>33</v>
      </c>
      <c r="D3" s="14" t="s">
        <v>34</v>
      </c>
      <c r="E3" s="14" t="s">
        <v>35</v>
      </c>
      <c r="F3" s="14" t="s">
        <v>36</v>
      </c>
      <c r="G3" s="14" t="s">
        <v>37</v>
      </c>
      <c r="H3" s="14" t="s">
        <v>38</v>
      </c>
      <c r="I3" s="14" t="s">
        <v>39</v>
      </c>
      <c r="J3" s="14" t="s">
        <v>40</v>
      </c>
      <c r="K3" s="14" t="s">
        <v>41</v>
      </c>
      <c r="L3" s="14" t="s">
        <v>42</v>
      </c>
    </row>
    <row r="4" spans="1:12">
      <c r="A4" s="60">
        <v>38924</v>
      </c>
      <c r="B4" s="61">
        <v>5</v>
      </c>
      <c r="C4" s="61">
        <v>5.1100000000000003</v>
      </c>
      <c r="D4" s="61">
        <v>5.21</v>
      </c>
      <c r="E4" s="61">
        <v>5.16</v>
      </c>
      <c r="F4" s="61">
        <v>5.0599999999999996</v>
      </c>
      <c r="G4" s="61">
        <v>5.0199999999999996</v>
      </c>
      <c r="H4" s="61">
        <v>4.99</v>
      </c>
      <c r="I4" s="61">
        <v>5</v>
      </c>
      <c r="J4" s="61">
        <v>5.04</v>
      </c>
      <c r="K4" s="61">
        <v>5.22</v>
      </c>
      <c r="L4" s="61">
        <v>5.0999999999999996</v>
      </c>
    </row>
    <row r="5" spans="1:12">
      <c r="A5" s="60">
        <v>39289</v>
      </c>
      <c r="B5" s="61">
        <v>4.9800000000000004</v>
      </c>
      <c r="C5" s="61">
        <v>4.92</v>
      </c>
      <c r="D5" s="61">
        <v>4.96</v>
      </c>
      <c r="E5" s="61">
        <v>4.83</v>
      </c>
      <c r="F5" s="61">
        <v>4.5599999999999996</v>
      </c>
      <c r="G5" s="61">
        <v>4.54</v>
      </c>
      <c r="H5" s="61">
        <v>4.6100000000000003</v>
      </c>
      <c r="I5" s="61">
        <v>4.68</v>
      </c>
      <c r="J5" s="61">
        <v>4.79</v>
      </c>
      <c r="K5" s="61">
        <v>5.0199999999999996</v>
      </c>
      <c r="L5" s="61">
        <v>4.95</v>
      </c>
    </row>
    <row r="6" spans="1:12">
      <c r="A6" s="60">
        <v>39654</v>
      </c>
      <c r="B6" s="61">
        <v>1.72</v>
      </c>
      <c r="C6" s="61">
        <v>1.75</v>
      </c>
      <c r="D6" s="61">
        <v>1.95</v>
      </c>
      <c r="E6" s="61">
        <v>2.35</v>
      </c>
      <c r="F6" s="61">
        <v>2.7</v>
      </c>
      <c r="G6" s="61">
        <v>3.01</v>
      </c>
      <c r="H6" s="61">
        <v>3.45</v>
      </c>
      <c r="I6" s="61">
        <v>3.73</v>
      </c>
      <c r="J6" s="61">
        <v>4.13</v>
      </c>
      <c r="K6" s="61">
        <v>4.75</v>
      </c>
      <c r="L6" s="61">
        <v>4.6900000000000004</v>
      </c>
    </row>
    <row r="7" spans="1:12">
      <c r="A7" s="60">
        <v>40021</v>
      </c>
      <c r="B7" s="61">
        <v>0.15</v>
      </c>
      <c r="C7" s="61">
        <v>0.19</v>
      </c>
      <c r="D7" s="61">
        <v>0.27</v>
      </c>
      <c r="E7" s="61">
        <v>0.49</v>
      </c>
      <c r="F7" s="61">
        <v>1.08</v>
      </c>
      <c r="G7" s="61">
        <v>1.63</v>
      </c>
      <c r="H7" s="61">
        <v>2.63</v>
      </c>
      <c r="I7" s="61">
        <v>3.31</v>
      </c>
      <c r="J7" s="61">
        <v>3.75</v>
      </c>
      <c r="K7" s="61">
        <v>4.5999999999999996</v>
      </c>
      <c r="L7" s="61">
        <v>4.62</v>
      </c>
    </row>
    <row r="8" spans="1:12">
      <c r="A8" s="60">
        <v>40385</v>
      </c>
      <c r="B8" s="61">
        <v>0.15</v>
      </c>
      <c r="C8" s="61">
        <v>0.16</v>
      </c>
      <c r="D8" s="61">
        <v>0.2</v>
      </c>
      <c r="E8" s="61">
        <v>0.28999999999999998</v>
      </c>
      <c r="F8" s="61">
        <v>0.62</v>
      </c>
      <c r="G8" s="61">
        <v>0.97</v>
      </c>
      <c r="H8" s="61">
        <v>1.76</v>
      </c>
      <c r="I8" s="61">
        <v>2.4500000000000002</v>
      </c>
      <c r="J8" s="61">
        <v>3.03</v>
      </c>
      <c r="K8" s="61">
        <v>3.82</v>
      </c>
      <c r="L8" s="61">
        <v>4.03</v>
      </c>
    </row>
    <row r="9" spans="1:12">
      <c r="A9" s="60">
        <v>40750</v>
      </c>
      <c r="B9" s="61">
        <v>7.0000000000000007E-2</v>
      </c>
      <c r="C9" s="61">
        <v>7.0000000000000007E-2</v>
      </c>
      <c r="D9" s="61">
        <v>0.11</v>
      </c>
      <c r="E9" s="61">
        <v>0.21</v>
      </c>
      <c r="F9" s="61">
        <v>0.41</v>
      </c>
      <c r="G9" s="61">
        <v>0.66</v>
      </c>
      <c r="H9" s="61">
        <v>1.51</v>
      </c>
      <c r="I9" s="61">
        <v>2.25</v>
      </c>
      <c r="J9" s="61">
        <v>2.99</v>
      </c>
      <c r="K9" s="61">
        <v>3.94</v>
      </c>
      <c r="L9" s="61">
        <v>4.28</v>
      </c>
    </row>
    <row r="10" spans="1:12">
      <c r="A10" s="60">
        <v>40750</v>
      </c>
      <c r="B10" s="61">
        <v>7.0000000000000007E-2</v>
      </c>
      <c r="C10" s="61">
        <v>7.0000000000000007E-2</v>
      </c>
      <c r="D10" s="61">
        <v>0.11</v>
      </c>
      <c r="E10" s="61">
        <v>0.21</v>
      </c>
      <c r="F10" s="61">
        <v>0.41</v>
      </c>
      <c r="G10" s="61">
        <v>0.66</v>
      </c>
      <c r="H10" s="61">
        <v>1.51</v>
      </c>
      <c r="I10" s="61">
        <v>2.25</v>
      </c>
      <c r="J10" s="61">
        <v>2.99</v>
      </c>
      <c r="K10" s="61">
        <v>3.94</v>
      </c>
      <c r="L10" s="61">
        <v>4.28</v>
      </c>
    </row>
    <row r="11" spans="1:12">
      <c r="A11" s="60">
        <v>41481</v>
      </c>
      <c r="B11" s="61">
        <v>0.02</v>
      </c>
      <c r="C11" s="61">
        <v>0.03</v>
      </c>
      <c r="D11" s="61">
        <v>7.0000000000000007E-2</v>
      </c>
      <c r="E11" s="61">
        <v>0.11</v>
      </c>
      <c r="F11" s="61">
        <v>0.31</v>
      </c>
      <c r="G11" s="61">
        <v>0.59</v>
      </c>
      <c r="H11" s="61">
        <v>1.36</v>
      </c>
      <c r="I11" s="61">
        <v>1.98</v>
      </c>
      <c r="J11" s="61">
        <v>2.58</v>
      </c>
      <c r="K11" s="61">
        <v>3.31</v>
      </c>
      <c r="L11" s="61">
        <v>3.61</v>
      </c>
    </row>
    <row r="12" spans="1:12">
      <c r="A12" s="60">
        <v>41845</v>
      </c>
      <c r="B12" s="61">
        <v>0.03</v>
      </c>
      <c r="C12" s="61">
        <v>0.03</v>
      </c>
      <c r="D12" s="61">
        <v>0.06</v>
      </c>
      <c r="E12" s="61">
        <v>0.11</v>
      </c>
      <c r="F12" s="61">
        <v>0.53</v>
      </c>
      <c r="G12" s="61">
        <v>0.98</v>
      </c>
      <c r="H12" s="61">
        <v>1.69</v>
      </c>
      <c r="I12" s="61">
        <v>2.14</v>
      </c>
      <c r="J12" s="61">
        <v>2.48</v>
      </c>
      <c r="K12" s="61">
        <v>2.99</v>
      </c>
      <c r="L12" s="61">
        <v>3.24</v>
      </c>
    </row>
    <row r="13" spans="1:12">
      <c r="A13" s="60">
        <v>42212</v>
      </c>
      <c r="B13" s="61">
        <v>0.04</v>
      </c>
      <c r="C13" s="61">
        <v>0.05</v>
      </c>
      <c r="D13" s="61">
        <v>0.15</v>
      </c>
      <c r="E13" s="61">
        <v>0.32</v>
      </c>
      <c r="F13" s="61">
        <v>0.68</v>
      </c>
      <c r="G13" s="61">
        <v>1</v>
      </c>
      <c r="H13" s="61">
        <v>1.58</v>
      </c>
      <c r="I13" s="61">
        <v>1.96</v>
      </c>
      <c r="J13" s="61">
        <v>2.23</v>
      </c>
      <c r="K13" s="61">
        <v>2.64</v>
      </c>
      <c r="L13" s="61">
        <v>2.93</v>
      </c>
    </row>
    <row r="14" spans="1:12">
      <c r="A14" s="60">
        <v>42577</v>
      </c>
      <c r="B14" s="61">
        <v>0.24</v>
      </c>
      <c r="C14" s="61">
        <v>0.31</v>
      </c>
      <c r="D14" s="61">
        <v>0.43</v>
      </c>
      <c r="E14" s="61">
        <v>0.55000000000000004</v>
      </c>
      <c r="F14" s="61">
        <v>0.75</v>
      </c>
      <c r="G14" s="61">
        <v>0.87</v>
      </c>
      <c r="H14" s="61">
        <v>1.1499999999999999</v>
      </c>
      <c r="I14" s="61">
        <v>1.4</v>
      </c>
      <c r="J14" s="61">
        <v>1.57</v>
      </c>
      <c r="K14" s="61">
        <v>1.89</v>
      </c>
      <c r="L14" s="61">
        <v>2.2799999999999998</v>
      </c>
    </row>
    <row r="15" spans="1:12">
      <c r="A15" s="60">
        <v>42942</v>
      </c>
      <c r="B15" s="61">
        <v>1.02</v>
      </c>
      <c r="C15" s="61">
        <v>1.1299999999999999</v>
      </c>
      <c r="D15" s="61">
        <v>1.1399999999999999</v>
      </c>
      <c r="E15" s="61">
        <v>1.23</v>
      </c>
      <c r="F15" s="61">
        <v>1.36</v>
      </c>
      <c r="G15" s="61">
        <v>1.5</v>
      </c>
      <c r="H15" s="61">
        <v>1.83</v>
      </c>
      <c r="I15" s="61">
        <v>2.09</v>
      </c>
      <c r="J15" s="61">
        <v>2.29</v>
      </c>
      <c r="K15" s="61">
        <v>2.65</v>
      </c>
      <c r="L15" s="61">
        <v>2.89</v>
      </c>
    </row>
    <row r="19" spans="1:18">
      <c r="A19" s="18" t="s">
        <v>43</v>
      </c>
      <c r="B19" s="18" t="s">
        <v>44</v>
      </c>
      <c r="C19" s="18"/>
      <c r="D19" s="18"/>
      <c r="E19" s="18"/>
    </row>
    <row r="20" spans="1:18">
      <c r="A20" s="18"/>
      <c r="B20" s="22">
        <v>2006</v>
      </c>
      <c r="C20" s="22">
        <v>2007</v>
      </c>
      <c r="D20" s="22">
        <v>2008</v>
      </c>
      <c r="E20" s="22">
        <v>2009</v>
      </c>
      <c r="F20" s="22">
        <v>2010</v>
      </c>
      <c r="G20" s="22">
        <v>2011</v>
      </c>
      <c r="H20" s="22">
        <v>2012</v>
      </c>
      <c r="I20" s="22">
        <v>2013</v>
      </c>
      <c r="J20" s="22">
        <v>2014</v>
      </c>
      <c r="K20" s="22">
        <v>2015</v>
      </c>
      <c r="L20" s="22">
        <v>2016</v>
      </c>
      <c r="M20" s="22">
        <v>2017</v>
      </c>
      <c r="O20" s="20"/>
      <c r="P20" s="20"/>
      <c r="Q20" s="20"/>
      <c r="R20" s="21" t="s">
        <v>68</v>
      </c>
    </row>
    <row r="21" spans="1:18">
      <c r="A21" s="18">
        <f>1/12</f>
        <v>8.3333333333333329E-2</v>
      </c>
      <c r="B21" s="61">
        <v>5</v>
      </c>
      <c r="C21" s="61">
        <v>4.9800000000000004</v>
      </c>
      <c r="D21" s="61">
        <v>1.72</v>
      </c>
      <c r="E21" s="61">
        <v>0.15</v>
      </c>
      <c r="F21" s="61">
        <v>0.15</v>
      </c>
      <c r="G21" s="61">
        <v>7.0000000000000007E-2</v>
      </c>
      <c r="H21" s="61">
        <v>7.0000000000000007E-2</v>
      </c>
      <c r="I21" s="61">
        <v>0.02</v>
      </c>
      <c r="J21" s="61">
        <v>0.03</v>
      </c>
      <c r="K21" s="61">
        <v>0.04</v>
      </c>
      <c r="L21" s="61">
        <v>0.24</v>
      </c>
      <c r="M21" s="61">
        <v>1.02</v>
      </c>
      <c r="O21" s="20" t="s">
        <v>69</v>
      </c>
      <c r="P21" s="20"/>
      <c r="Q21" s="20"/>
      <c r="R21" s="20" t="s">
        <v>2</v>
      </c>
    </row>
    <row r="22" spans="1:18">
      <c r="A22" s="18">
        <f>3/12</f>
        <v>0.25</v>
      </c>
      <c r="B22" s="61">
        <v>5.1100000000000003</v>
      </c>
      <c r="C22" s="61">
        <v>4.92</v>
      </c>
      <c r="D22" s="61">
        <v>1.75</v>
      </c>
      <c r="E22" s="61">
        <v>0.19</v>
      </c>
      <c r="F22" s="61">
        <v>0.16</v>
      </c>
      <c r="G22" s="61">
        <v>7.0000000000000007E-2</v>
      </c>
      <c r="H22" s="61">
        <v>7.0000000000000007E-2</v>
      </c>
      <c r="I22" s="61">
        <v>0.03</v>
      </c>
      <c r="J22" s="61">
        <v>0.03</v>
      </c>
      <c r="K22" s="61">
        <v>0.05</v>
      </c>
      <c r="L22" s="61">
        <v>0.31</v>
      </c>
      <c r="M22" s="61">
        <v>1.1299999999999999</v>
      </c>
      <c r="O22" s="20" t="s">
        <v>70</v>
      </c>
      <c r="P22" s="20"/>
      <c r="Q22" s="20"/>
      <c r="R22" s="20" t="s">
        <v>146</v>
      </c>
    </row>
    <row r="23" spans="1:18">
      <c r="A23" s="18">
        <f>6/12</f>
        <v>0.5</v>
      </c>
      <c r="B23" s="61">
        <v>5.21</v>
      </c>
      <c r="C23" s="61">
        <v>4.96</v>
      </c>
      <c r="D23" s="61">
        <v>1.95</v>
      </c>
      <c r="E23" s="61">
        <v>0.27</v>
      </c>
      <c r="F23" s="61">
        <v>0.2</v>
      </c>
      <c r="G23" s="61">
        <v>0.11</v>
      </c>
      <c r="H23" s="61">
        <v>0.11</v>
      </c>
      <c r="I23" s="61">
        <v>7.0000000000000007E-2</v>
      </c>
      <c r="J23" s="61">
        <v>0.06</v>
      </c>
      <c r="K23" s="61">
        <v>0.15</v>
      </c>
      <c r="L23" s="61">
        <v>0.43</v>
      </c>
      <c r="M23" s="61">
        <v>1.1399999999999999</v>
      </c>
      <c r="O23" s="20" t="s">
        <v>71</v>
      </c>
      <c r="P23" s="20"/>
      <c r="Q23" s="20"/>
      <c r="R23" s="20" t="s">
        <v>146</v>
      </c>
    </row>
    <row r="24" spans="1:18">
      <c r="A24" s="18">
        <v>1</v>
      </c>
      <c r="B24" s="61">
        <v>5.16</v>
      </c>
      <c r="C24" s="61">
        <v>4.83</v>
      </c>
      <c r="D24" s="61">
        <v>2.35</v>
      </c>
      <c r="E24" s="61">
        <v>0.49</v>
      </c>
      <c r="F24" s="61">
        <v>0.28999999999999998</v>
      </c>
      <c r="G24" s="61">
        <v>0.21</v>
      </c>
      <c r="H24" s="61">
        <v>0.21</v>
      </c>
      <c r="I24" s="61">
        <v>0.11</v>
      </c>
      <c r="J24" s="61">
        <v>0.11</v>
      </c>
      <c r="K24" s="61">
        <v>0.32</v>
      </c>
      <c r="L24" s="61">
        <v>0.55000000000000004</v>
      </c>
      <c r="M24" s="61">
        <v>1.23</v>
      </c>
      <c r="O24" s="20" t="s">
        <v>72</v>
      </c>
      <c r="P24" s="20"/>
      <c r="Q24" s="20"/>
      <c r="R24" s="20" t="s">
        <v>2</v>
      </c>
    </row>
    <row r="25" spans="1:18">
      <c r="A25" s="18">
        <v>2</v>
      </c>
      <c r="B25" s="61">
        <v>5.0599999999999996</v>
      </c>
      <c r="C25" s="61">
        <v>4.5599999999999996</v>
      </c>
      <c r="D25" s="61">
        <v>2.7</v>
      </c>
      <c r="E25" s="61">
        <v>1.08</v>
      </c>
      <c r="F25" s="61">
        <v>0.62</v>
      </c>
      <c r="G25" s="61">
        <v>0.41</v>
      </c>
      <c r="H25" s="61">
        <v>0.41</v>
      </c>
      <c r="I25" s="61">
        <v>0.31</v>
      </c>
      <c r="J25" s="61">
        <v>0.53</v>
      </c>
      <c r="K25" s="61">
        <v>0.68</v>
      </c>
      <c r="L25" s="61">
        <v>0.75</v>
      </c>
      <c r="M25" s="61">
        <v>1.36</v>
      </c>
      <c r="O25" s="20" t="s">
        <v>73</v>
      </c>
      <c r="P25" s="20"/>
      <c r="Q25" s="20"/>
      <c r="R25" s="20" t="s">
        <v>146</v>
      </c>
    </row>
    <row r="26" spans="1:18">
      <c r="A26" s="18">
        <v>3</v>
      </c>
      <c r="B26" s="61">
        <v>5.0199999999999996</v>
      </c>
      <c r="C26" s="61">
        <v>4.54</v>
      </c>
      <c r="D26" s="61">
        <v>3.01</v>
      </c>
      <c r="E26" s="61">
        <v>1.63</v>
      </c>
      <c r="F26" s="61">
        <v>0.97</v>
      </c>
      <c r="G26" s="61">
        <v>0.66</v>
      </c>
      <c r="H26" s="61">
        <v>0.66</v>
      </c>
      <c r="I26" s="61">
        <v>0.59</v>
      </c>
      <c r="J26" s="61">
        <v>0.98</v>
      </c>
      <c r="K26" s="61">
        <v>1</v>
      </c>
      <c r="L26" s="61">
        <v>0.87</v>
      </c>
      <c r="M26" s="61">
        <v>1.5</v>
      </c>
      <c r="O26" s="20" t="s">
        <v>74</v>
      </c>
      <c r="P26" s="20"/>
      <c r="Q26" s="20"/>
      <c r="R26" s="20" t="s">
        <v>146</v>
      </c>
    </row>
    <row r="27" spans="1:18">
      <c r="A27" s="18">
        <v>5</v>
      </c>
      <c r="B27" s="61">
        <v>4.99</v>
      </c>
      <c r="C27" s="61">
        <v>4.6100000000000003</v>
      </c>
      <c r="D27" s="61">
        <v>3.45</v>
      </c>
      <c r="E27" s="61">
        <v>2.63</v>
      </c>
      <c r="F27" s="61">
        <v>1.76</v>
      </c>
      <c r="G27" s="61">
        <v>1.51</v>
      </c>
      <c r="H27" s="61">
        <v>1.51</v>
      </c>
      <c r="I27" s="61">
        <v>1.36</v>
      </c>
      <c r="J27" s="61">
        <v>1.69</v>
      </c>
      <c r="K27" s="61">
        <v>1.58</v>
      </c>
      <c r="L27" s="61">
        <v>1.1499999999999999</v>
      </c>
      <c r="M27" s="61">
        <v>1.83</v>
      </c>
    </row>
    <row r="28" spans="1:18">
      <c r="A28" s="18">
        <v>7</v>
      </c>
      <c r="B28" s="61">
        <v>5</v>
      </c>
      <c r="C28" s="61">
        <v>4.68</v>
      </c>
      <c r="D28" s="61">
        <v>3.73</v>
      </c>
      <c r="E28" s="61">
        <v>3.31</v>
      </c>
      <c r="F28" s="61">
        <v>2.4500000000000002</v>
      </c>
      <c r="G28" s="61">
        <v>2.25</v>
      </c>
      <c r="H28" s="61">
        <v>2.25</v>
      </c>
      <c r="I28" s="61">
        <v>1.98</v>
      </c>
      <c r="J28" s="61">
        <v>2.14</v>
      </c>
      <c r="K28" s="61">
        <v>1.96</v>
      </c>
      <c r="L28" s="61">
        <v>1.4</v>
      </c>
      <c r="M28" s="61">
        <v>2.09</v>
      </c>
    </row>
    <row r="29" spans="1:18">
      <c r="A29" s="18">
        <v>10</v>
      </c>
      <c r="B29" s="61">
        <v>5.04</v>
      </c>
      <c r="C29" s="61">
        <v>4.79</v>
      </c>
      <c r="D29" s="61">
        <v>4.13</v>
      </c>
      <c r="E29" s="61">
        <v>3.75</v>
      </c>
      <c r="F29" s="61">
        <v>3.03</v>
      </c>
      <c r="G29" s="61">
        <v>2.99</v>
      </c>
      <c r="H29" s="61">
        <v>2.99</v>
      </c>
      <c r="I29" s="61">
        <v>2.58</v>
      </c>
      <c r="J29" s="61">
        <v>2.48</v>
      </c>
      <c r="K29" s="61">
        <v>2.23</v>
      </c>
      <c r="L29" s="61">
        <v>1.57</v>
      </c>
      <c r="M29" s="61">
        <v>2.29</v>
      </c>
    </row>
    <row r="30" spans="1:18">
      <c r="A30" s="18">
        <v>20</v>
      </c>
      <c r="B30" s="61">
        <v>5.22</v>
      </c>
      <c r="C30" s="61">
        <v>5.0199999999999996</v>
      </c>
      <c r="D30" s="61">
        <v>4.75</v>
      </c>
      <c r="E30" s="61">
        <v>4.5999999999999996</v>
      </c>
      <c r="F30" s="61">
        <v>3.82</v>
      </c>
      <c r="G30" s="61">
        <v>3.94</v>
      </c>
      <c r="H30" s="61">
        <v>3.94</v>
      </c>
      <c r="I30" s="61">
        <v>3.31</v>
      </c>
      <c r="J30" s="61">
        <v>2.99</v>
      </c>
      <c r="K30" s="61">
        <v>2.64</v>
      </c>
      <c r="L30" s="61">
        <v>1.89</v>
      </c>
      <c r="M30" s="61">
        <v>2.65</v>
      </c>
    </row>
    <row r="31" spans="1:18">
      <c r="A31" s="18">
        <v>30</v>
      </c>
      <c r="B31" s="61">
        <v>5.0999999999999996</v>
      </c>
      <c r="C31" s="61">
        <v>4.95</v>
      </c>
      <c r="D31" s="61">
        <v>4.6900000000000004</v>
      </c>
      <c r="E31" s="61">
        <v>4.62</v>
      </c>
      <c r="F31" s="61">
        <v>4.03</v>
      </c>
      <c r="G31" s="61">
        <v>4.28</v>
      </c>
      <c r="H31" s="61">
        <v>4.28</v>
      </c>
      <c r="I31" s="61">
        <v>3.61</v>
      </c>
      <c r="J31" s="61">
        <v>3.24</v>
      </c>
      <c r="K31" s="61">
        <v>2.93</v>
      </c>
      <c r="L31" s="61">
        <v>2.2799999999999998</v>
      </c>
      <c r="M31" s="61">
        <v>2.89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3"/>
  <sheetViews>
    <sheetView topLeftCell="A19" workbookViewId="0">
      <selection activeCell="M26" sqref="M26"/>
    </sheetView>
  </sheetViews>
  <sheetFormatPr defaultRowHeight="15"/>
  <cols>
    <col min="5" max="6" width="10.140625" bestFit="1" customWidth="1"/>
    <col min="11" max="11" width="6.28515625" customWidth="1"/>
    <col min="15" max="16" width="9.140625" customWidth="1"/>
  </cols>
  <sheetData>
    <row r="1" spans="1:17">
      <c r="A1" s="23" t="s">
        <v>75</v>
      </c>
      <c r="K1" s="21" t="s">
        <v>76</v>
      </c>
      <c r="L1" s="21" t="s">
        <v>76</v>
      </c>
      <c r="M1" s="21" t="s">
        <v>76</v>
      </c>
      <c r="N1" s="21" t="s">
        <v>76</v>
      </c>
      <c r="O1" s="21" t="s">
        <v>76</v>
      </c>
      <c r="P1" s="21" t="s">
        <v>76</v>
      </c>
      <c r="Q1" s="21" t="s">
        <v>76</v>
      </c>
    </row>
    <row r="2" spans="1:17" ht="78">
      <c r="A2" s="24" t="s">
        <v>77</v>
      </c>
      <c r="B2" s="24" t="s">
        <v>78</v>
      </c>
      <c r="C2" s="24" t="s">
        <v>79</v>
      </c>
      <c r="D2" s="24" t="s">
        <v>80</v>
      </c>
      <c r="E2" s="24" t="s">
        <v>81</v>
      </c>
      <c r="F2" s="24" t="s">
        <v>82</v>
      </c>
      <c r="G2" s="24" t="s">
        <v>83</v>
      </c>
      <c r="H2" s="24" t="s">
        <v>97</v>
      </c>
      <c r="J2" s="24" t="s">
        <v>77</v>
      </c>
      <c r="K2" s="24" t="s">
        <v>84</v>
      </c>
      <c r="L2" s="24" t="s">
        <v>85</v>
      </c>
      <c r="M2" s="24" t="s">
        <v>86</v>
      </c>
      <c r="N2" s="24" t="s">
        <v>87</v>
      </c>
      <c r="O2" s="24" t="s">
        <v>88</v>
      </c>
      <c r="P2" s="24" t="s">
        <v>89</v>
      </c>
      <c r="Q2" s="24" t="s">
        <v>98</v>
      </c>
    </row>
    <row r="3" spans="1:17">
      <c r="A3" s="26">
        <v>42567</v>
      </c>
      <c r="B3" s="51">
        <v>0.48</v>
      </c>
      <c r="C3" s="51">
        <v>1.29</v>
      </c>
      <c r="D3" s="51">
        <v>1.35</v>
      </c>
      <c r="E3" s="51">
        <v>44.89</v>
      </c>
      <c r="F3" s="51">
        <v>1.41</v>
      </c>
      <c r="G3" s="51">
        <v>2.79</v>
      </c>
      <c r="H3" s="51">
        <v>54.23</v>
      </c>
      <c r="J3" s="25">
        <f t="shared" ref="J3:J14" si="0">A3</f>
        <v>42567</v>
      </c>
      <c r="K3" s="3"/>
      <c r="L3" s="3"/>
      <c r="M3" s="3"/>
      <c r="N3" s="3"/>
      <c r="O3" s="3"/>
      <c r="P3" s="3"/>
      <c r="Q3" s="3"/>
    </row>
    <row r="4" spans="1:17">
      <c r="A4" s="26">
        <v>42598</v>
      </c>
      <c r="B4" s="51">
        <v>0.45</v>
      </c>
      <c r="C4" s="51">
        <v>1.33</v>
      </c>
      <c r="D4" s="51">
        <v>1.38</v>
      </c>
      <c r="E4" s="51">
        <v>44.75</v>
      </c>
      <c r="F4" s="51">
        <v>1.39</v>
      </c>
      <c r="G4" s="51">
        <v>2.79</v>
      </c>
      <c r="H4" s="51">
        <v>57.85</v>
      </c>
      <c r="J4" s="25">
        <f t="shared" si="0"/>
        <v>42598</v>
      </c>
      <c r="K4" s="3">
        <f>B4-B3</f>
        <v>-2.9999999999999971E-2</v>
      </c>
      <c r="L4" s="3">
        <f t="shared" ref="L4:Q14" si="1">C4-C3</f>
        <v>4.0000000000000036E-2</v>
      </c>
      <c r="M4" s="3">
        <f t="shared" si="1"/>
        <v>2.9999999999999805E-2</v>
      </c>
      <c r="N4" s="64">
        <f t="shared" si="1"/>
        <v>-0.14000000000000057</v>
      </c>
      <c r="O4" s="3">
        <f t="shared" si="1"/>
        <v>-2.0000000000000018E-2</v>
      </c>
      <c r="P4" s="3">
        <f t="shared" si="1"/>
        <v>0</v>
      </c>
      <c r="Q4" s="3">
        <f t="shared" si="1"/>
        <v>3.6200000000000045</v>
      </c>
    </row>
    <row r="5" spans="1:17">
      <c r="A5" s="26">
        <v>42629</v>
      </c>
      <c r="B5" s="51">
        <v>0.5</v>
      </c>
      <c r="C5" s="51">
        <v>1.35</v>
      </c>
      <c r="D5" s="51">
        <v>1.44</v>
      </c>
      <c r="E5" s="51">
        <v>45.17</v>
      </c>
      <c r="F5" s="51">
        <v>1.56</v>
      </c>
      <c r="G5" s="51">
        <v>2.97</v>
      </c>
      <c r="H5" s="51">
        <v>60.95</v>
      </c>
      <c r="J5" s="25">
        <f t="shared" si="0"/>
        <v>42629</v>
      </c>
      <c r="K5" s="3">
        <f t="shared" ref="K5:K14" si="2">B5-B4</f>
        <v>4.9999999999999989E-2</v>
      </c>
      <c r="L5" s="3">
        <f t="shared" si="1"/>
        <v>2.0000000000000018E-2</v>
      </c>
      <c r="M5" s="3">
        <f t="shared" si="1"/>
        <v>6.0000000000000053E-2</v>
      </c>
      <c r="N5" s="64">
        <f t="shared" si="1"/>
        <v>0.42000000000000171</v>
      </c>
      <c r="O5" s="3">
        <f t="shared" si="1"/>
        <v>0.17000000000000015</v>
      </c>
      <c r="P5" s="3">
        <f t="shared" si="1"/>
        <v>0.18000000000000016</v>
      </c>
      <c r="Q5" s="3">
        <f t="shared" si="1"/>
        <v>3.1000000000000014</v>
      </c>
    </row>
    <row r="6" spans="1:17">
      <c r="A6" s="26">
        <v>42659</v>
      </c>
      <c r="B6" s="51">
        <v>0.56999999999999995</v>
      </c>
      <c r="C6" s="51">
        <v>1.49</v>
      </c>
      <c r="D6" s="51">
        <v>1.52</v>
      </c>
      <c r="E6" s="51">
        <v>49.89</v>
      </c>
      <c r="F6" s="51">
        <v>1.62</v>
      </c>
      <c r="G6" s="51">
        <v>2.95</v>
      </c>
      <c r="H6" s="51">
        <v>78.88</v>
      </c>
      <c r="J6" s="25">
        <f t="shared" si="0"/>
        <v>42659</v>
      </c>
      <c r="K6" s="3">
        <f t="shared" si="2"/>
        <v>6.9999999999999951E-2</v>
      </c>
      <c r="L6" s="3">
        <f t="shared" si="1"/>
        <v>0.1399999999999999</v>
      </c>
      <c r="M6" s="3">
        <f t="shared" si="1"/>
        <v>8.0000000000000071E-2</v>
      </c>
      <c r="N6" s="64">
        <f t="shared" si="1"/>
        <v>4.7199999999999989</v>
      </c>
      <c r="O6" s="3">
        <f t="shared" si="1"/>
        <v>6.0000000000000053E-2</v>
      </c>
      <c r="P6" s="3">
        <f t="shared" si="1"/>
        <v>-2.0000000000000018E-2</v>
      </c>
      <c r="Q6" s="3">
        <f t="shared" si="1"/>
        <v>17.929999999999993</v>
      </c>
    </row>
    <row r="7" spans="1:17">
      <c r="A7" s="26">
        <v>42690</v>
      </c>
      <c r="B7" s="51">
        <v>0.54</v>
      </c>
      <c r="C7" s="51">
        <v>1.39</v>
      </c>
      <c r="D7" s="51">
        <v>1.46</v>
      </c>
      <c r="E7" s="51">
        <v>45.62</v>
      </c>
      <c r="F7" s="51">
        <v>1.43</v>
      </c>
      <c r="G7" s="51">
        <v>2.5</v>
      </c>
      <c r="H7" s="51">
        <v>86.69</v>
      </c>
      <c r="J7" s="25">
        <f t="shared" si="0"/>
        <v>42690</v>
      </c>
      <c r="K7" s="3">
        <f t="shared" si="2"/>
        <v>-2.9999999999999916E-2</v>
      </c>
      <c r="L7" s="3">
        <f t="shared" si="1"/>
        <v>-0.10000000000000009</v>
      </c>
      <c r="M7" s="3">
        <f t="shared" si="1"/>
        <v>-6.0000000000000053E-2</v>
      </c>
      <c r="N7" s="64">
        <f t="shared" si="1"/>
        <v>-4.2700000000000031</v>
      </c>
      <c r="O7" s="3">
        <f t="shared" si="1"/>
        <v>-0.19000000000000017</v>
      </c>
      <c r="P7" s="3">
        <f t="shared" si="1"/>
        <v>-0.45000000000000018</v>
      </c>
      <c r="Q7" s="3">
        <f t="shared" si="1"/>
        <v>7.8100000000000023</v>
      </c>
    </row>
    <row r="8" spans="1:17">
      <c r="A8" s="26">
        <v>42720</v>
      </c>
      <c r="B8" s="51">
        <v>0.64</v>
      </c>
      <c r="C8" s="51">
        <v>1.55</v>
      </c>
      <c r="D8" s="51">
        <v>1.63</v>
      </c>
      <c r="E8" s="51">
        <v>52.01</v>
      </c>
      <c r="F8" s="51">
        <v>1.5</v>
      </c>
      <c r="G8" s="51">
        <v>3.58</v>
      </c>
      <c r="H8" s="51">
        <v>89.8</v>
      </c>
      <c r="J8" s="25">
        <f t="shared" si="0"/>
        <v>42720</v>
      </c>
      <c r="K8" s="3">
        <f t="shared" si="2"/>
        <v>9.9999999999999978E-2</v>
      </c>
      <c r="L8" s="3">
        <f t="shared" si="1"/>
        <v>0.16000000000000014</v>
      </c>
      <c r="M8" s="3">
        <f t="shared" si="1"/>
        <v>0.16999999999999993</v>
      </c>
      <c r="N8" s="64">
        <f t="shared" si="1"/>
        <v>6.3900000000000006</v>
      </c>
      <c r="O8" s="3">
        <f t="shared" si="1"/>
        <v>7.0000000000000062E-2</v>
      </c>
      <c r="P8" s="3">
        <f t="shared" si="1"/>
        <v>1.08</v>
      </c>
      <c r="Q8" s="3">
        <f t="shared" si="1"/>
        <v>3.1099999999999994</v>
      </c>
    </row>
    <row r="9" spans="1:17">
      <c r="A9" s="26">
        <v>42751</v>
      </c>
      <c r="B9" s="51">
        <v>0.75</v>
      </c>
      <c r="C9" s="51">
        <v>1.55</v>
      </c>
      <c r="D9" s="51">
        <v>1.61</v>
      </c>
      <c r="E9" s="51">
        <v>52.56</v>
      </c>
      <c r="F9" s="51">
        <v>1.61</v>
      </c>
      <c r="G9" s="51">
        <v>3.26</v>
      </c>
      <c r="H9" s="51">
        <v>83.75</v>
      </c>
      <c r="J9" s="25">
        <f t="shared" si="0"/>
        <v>42751</v>
      </c>
      <c r="K9" s="3">
        <f t="shared" si="2"/>
        <v>0.10999999999999999</v>
      </c>
      <c r="L9" s="3">
        <f t="shared" si="1"/>
        <v>0</v>
      </c>
      <c r="M9" s="3">
        <f t="shared" si="1"/>
        <v>-1.9999999999999796E-2</v>
      </c>
      <c r="N9" s="64">
        <f t="shared" si="1"/>
        <v>0.55000000000000426</v>
      </c>
      <c r="O9" s="3">
        <f t="shared" si="1"/>
        <v>0.1100000000000001</v>
      </c>
      <c r="P9" s="3">
        <f t="shared" si="1"/>
        <v>-0.32000000000000028</v>
      </c>
      <c r="Q9" s="3">
        <f t="shared" si="1"/>
        <v>-6.0499999999999972</v>
      </c>
    </row>
    <row r="10" spans="1:17">
      <c r="A10" s="26">
        <v>42782</v>
      </c>
      <c r="B10" s="51">
        <v>0.77</v>
      </c>
      <c r="C10" s="51">
        <v>1.56</v>
      </c>
      <c r="D10" s="51">
        <v>1.55</v>
      </c>
      <c r="E10" s="51">
        <v>53.4</v>
      </c>
      <c r="F10" s="51">
        <v>1.76</v>
      </c>
      <c r="G10" s="51">
        <v>2.82</v>
      </c>
      <c r="H10" s="51">
        <v>79.5</v>
      </c>
      <c r="J10" s="25">
        <f t="shared" si="0"/>
        <v>42782</v>
      </c>
      <c r="K10" s="3">
        <f t="shared" si="2"/>
        <v>2.0000000000000018E-2</v>
      </c>
      <c r="L10" s="3">
        <f t="shared" si="1"/>
        <v>1.0000000000000009E-2</v>
      </c>
      <c r="M10" s="3">
        <f t="shared" si="1"/>
        <v>-6.0000000000000053E-2</v>
      </c>
      <c r="N10" s="64">
        <f t="shared" si="1"/>
        <v>0.83999999999999631</v>
      </c>
      <c r="O10" s="3">
        <f t="shared" si="1"/>
        <v>0.14999999999999991</v>
      </c>
      <c r="P10" s="3">
        <f t="shared" si="1"/>
        <v>-0.43999999999999995</v>
      </c>
      <c r="Q10" s="3">
        <f t="shared" si="1"/>
        <v>-4.25</v>
      </c>
    </row>
    <row r="11" spans="1:17">
      <c r="A11" s="26">
        <v>42810</v>
      </c>
      <c r="B11" s="51">
        <v>0.62</v>
      </c>
      <c r="C11" s="51">
        <v>1.49</v>
      </c>
      <c r="D11" s="51">
        <v>1.49</v>
      </c>
      <c r="E11" s="51">
        <v>49.58</v>
      </c>
      <c r="F11" s="51">
        <v>1.72</v>
      </c>
      <c r="G11" s="51">
        <v>2.87</v>
      </c>
      <c r="H11" s="51">
        <v>68.5</v>
      </c>
      <c r="J11" s="25">
        <f t="shared" si="0"/>
        <v>42810</v>
      </c>
      <c r="K11" s="3">
        <f t="shared" si="2"/>
        <v>-0.15000000000000002</v>
      </c>
      <c r="L11" s="3">
        <f t="shared" si="1"/>
        <v>-7.0000000000000062E-2</v>
      </c>
      <c r="M11" s="3">
        <f t="shared" si="1"/>
        <v>-6.0000000000000053E-2</v>
      </c>
      <c r="N11" s="64">
        <f t="shared" si="1"/>
        <v>-3.8200000000000003</v>
      </c>
      <c r="O11" s="3">
        <f t="shared" si="1"/>
        <v>-4.0000000000000036E-2</v>
      </c>
      <c r="P11" s="3">
        <f t="shared" si="1"/>
        <v>5.0000000000000266E-2</v>
      </c>
      <c r="Q11" s="3">
        <f t="shared" si="1"/>
        <v>-11</v>
      </c>
    </row>
    <row r="12" spans="1:17">
      <c r="A12" s="26">
        <v>42841</v>
      </c>
      <c r="B12" s="51">
        <v>0.65</v>
      </c>
      <c r="C12" s="51">
        <v>1.52</v>
      </c>
      <c r="D12" s="51">
        <v>1.61</v>
      </c>
      <c r="E12" s="51">
        <v>51.17</v>
      </c>
      <c r="F12" s="51">
        <v>1.78</v>
      </c>
      <c r="G12" s="51">
        <v>3.08</v>
      </c>
      <c r="H12" s="51">
        <v>67.95</v>
      </c>
      <c r="J12" s="25">
        <f t="shared" si="0"/>
        <v>42841</v>
      </c>
      <c r="K12" s="3">
        <f t="shared" si="2"/>
        <v>3.0000000000000027E-2</v>
      </c>
      <c r="L12" s="3">
        <f t="shared" si="1"/>
        <v>3.0000000000000027E-2</v>
      </c>
      <c r="M12" s="3">
        <f t="shared" si="1"/>
        <v>0.12000000000000011</v>
      </c>
      <c r="N12" s="64">
        <f t="shared" si="1"/>
        <v>1.5900000000000034</v>
      </c>
      <c r="O12" s="3">
        <f t="shared" si="1"/>
        <v>6.0000000000000053E-2</v>
      </c>
      <c r="P12" s="3">
        <f t="shared" si="1"/>
        <v>0.20999999999999996</v>
      </c>
      <c r="Q12" s="3">
        <f t="shared" si="1"/>
        <v>-0.54999999999999716</v>
      </c>
    </row>
    <row r="13" spans="1:17">
      <c r="A13" s="26">
        <v>42871</v>
      </c>
      <c r="B13" s="51">
        <v>0.64</v>
      </c>
      <c r="C13" s="51">
        <v>1.45</v>
      </c>
      <c r="D13" s="51">
        <v>1.54</v>
      </c>
      <c r="E13" s="51">
        <v>48.56</v>
      </c>
      <c r="F13" s="51">
        <v>1.75</v>
      </c>
      <c r="G13" s="51">
        <v>3.12</v>
      </c>
      <c r="H13" s="51">
        <v>67.95</v>
      </c>
      <c r="J13" s="25">
        <f t="shared" si="0"/>
        <v>42871</v>
      </c>
      <c r="K13" s="3">
        <f t="shared" si="2"/>
        <v>-1.0000000000000009E-2</v>
      </c>
      <c r="L13" s="3">
        <f t="shared" si="1"/>
        <v>-7.0000000000000062E-2</v>
      </c>
      <c r="M13" s="3">
        <f t="shared" si="1"/>
        <v>-7.0000000000000062E-2</v>
      </c>
      <c r="N13" s="64">
        <f t="shared" si="1"/>
        <v>-2.6099999999999994</v>
      </c>
      <c r="O13" s="3">
        <f t="shared" si="1"/>
        <v>-3.0000000000000027E-2</v>
      </c>
      <c r="P13" s="3">
        <f t="shared" si="1"/>
        <v>4.0000000000000036E-2</v>
      </c>
      <c r="Q13" s="3">
        <f>H13-H12</f>
        <v>0</v>
      </c>
    </row>
    <row r="14" spans="1:17">
      <c r="A14" s="26">
        <v>42902</v>
      </c>
      <c r="B14" s="51">
        <v>0.59</v>
      </c>
      <c r="C14" s="51">
        <v>1.33</v>
      </c>
      <c r="D14" s="51">
        <v>1.45</v>
      </c>
      <c r="E14" s="51">
        <v>45.17</v>
      </c>
      <c r="F14" s="51">
        <v>1.62</v>
      </c>
      <c r="G14" s="51">
        <v>2.94</v>
      </c>
      <c r="H14" s="51">
        <v>73.98</v>
      </c>
      <c r="J14" s="25">
        <f t="shared" si="0"/>
        <v>42902</v>
      </c>
      <c r="K14" s="3">
        <f t="shared" si="2"/>
        <v>-5.0000000000000044E-2</v>
      </c>
      <c r="L14" s="3">
        <f t="shared" si="1"/>
        <v>-0.11999999999999988</v>
      </c>
      <c r="M14" s="3">
        <f t="shared" si="1"/>
        <v>-9.000000000000008E-2</v>
      </c>
      <c r="N14" s="64">
        <f t="shared" si="1"/>
        <v>-3.3900000000000006</v>
      </c>
      <c r="O14" s="3">
        <f t="shared" si="1"/>
        <v>-0.12999999999999989</v>
      </c>
      <c r="P14" s="3">
        <f t="shared" si="1"/>
        <v>-0.18000000000000016</v>
      </c>
      <c r="Q14" s="3">
        <f t="shared" si="1"/>
        <v>6.0300000000000011</v>
      </c>
    </row>
    <row r="15" spans="1:17">
      <c r="N15" s="65"/>
    </row>
    <row r="17" spans="12:19">
      <c r="L17" s="28" t="s">
        <v>90</v>
      </c>
      <c r="M17" s="21"/>
      <c r="N17" s="28"/>
      <c r="O17" s="28"/>
    </row>
    <row r="18" spans="12:19">
      <c r="L18" s="3" t="s">
        <v>94</v>
      </c>
      <c r="M18" s="3"/>
      <c r="N18" s="3"/>
      <c r="O18" s="3"/>
    </row>
    <row r="20" spans="12:19">
      <c r="L20" s="21" t="s">
        <v>91</v>
      </c>
      <c r="M20" s="21"/>
      <c r="N20" s="21"/>
      <c r="O20" s="21"/>
    </row>
    <row r="22" spans="12:19">
      <c r="L22" s="21"/>
      <c r="M22" s="21" t="str">
        <f t="shared" ref="M22" si="3">B2</f>
        <v>Propane</v>
      </c>
      <c r="N22" s="21" t="s">
        <v>92</v>
      </c>
      <c r="O22" s="21" t="s">
        <v>93</v>
      </c>
      <c r="P22" s="21" t="s">
        <v>100</v>
      </c>
      <c r="Q22" s="21" t="s">
        <v>95</v>
      </c>
      <c r="R22" s="21" t="s">
        <v>96</v>
      </c>
      <c r="S22" s="21" t="s">
        <v>99</v>
      </c>
    </row>
    <row r="23" spans="12:19">
      <c r="L23" s="21" t="s">
        <v>78</v>
      </c>
      <c r="M23" s="3">
        <f>CORREL(K4:K14,K4:K14)</f>
        <v>0.99999999999999978</v>
      </c>
      <c r="N23" s="3">
        <f>CORREL($L$4:$L$14,K4:K14)</f>
        <v>0.68149831113095605</v>
      </c>
      <c r="O23" s="3">
        <f>CORREL($M$4:$M$14,K4:K14)</f>
        <v>0.60247537704846632</v>
      </c>
      <c r="P23" s="3">
        <f>CORREL($N$4:$N$14,K4:K14)</f>
        <v>0.77923185547121676</v>
      </c>
      <c r="Q23" s="3">
        <f>CORREL($O$4:$O$14,K4:K14)</f>
        <v>0.63098199246899811</v>
      </c>
      <c r="R23" s="3">
        <f>CORREL($P$4:$P$14,K4:K14)</f>
        <v>0.28699912692497337</v>
      </c>
      <c r="S23" s="3">
        <f>CORREL($Q$4:$Q$14,K4:K14)</f>
        <v>0.30449706127495302</v>
      </c>
    </row>
    <row r="24" spans="12:19">
      <c r="L24" s="21" t="s">
        <v>92</v>
      </c>
      <c r="M24" s="3">
        <f>CORREL($K$4:$K$14,L4:L14)</f>
        <v>0.68149831113095605</v>
      </c>
      <c r="N24" s="3">
        <f>CORREL(L4:L14,L4:L14)</f>
        <v>1</v>
      </c>
      <c r="O24" s="3">
        <f>CORREL($M$4:$M$14,L4:L14)</f>
        <v>0.86847181759577163</v>
      </c>
      <c r="P24" s="3">
        <f>CORREL($N$4:$N$14,L4:L14)</f>
        <v>0.97110478793331922</v>
      </c>
      <c r="Q24" s="3">
        <f>CORREL($O$4:$O$14,L4:L14)</f>
        <v>0.62727992019747336</v>
      </c>
      <c r="R24" s="3">
        <f>CORREL($P$4:$P$14,L4:L14)</f>
        <v>0.6154679875860245</v>
      </c>
      <c r="S24" s="3">
        <f>CORREL($Q$4:$Q$14,L4:L14)</f>
        <v>0.33672301529585041</v>
      </c>
    </row>
    <row r="25" spans="12:19">
      <c r="L25" s="21" t="s">
        <v>93</v>
      </c>
      <c r="M25" s="3">
        <f>CORREL($K$4:$K$14,M4:M14)</f>
        <v>0.60247537704846632</v>
      </c>
      <c r="N25" s="3">
        <f>CORREL($L$4:$L$14,M4:M14)</f>
        <v>0.86847181759577163</v>
      </c>
      <c r="O25" s="3">
        <f>CORREL($M$4:$M$14,M4:M14)</f>
        <v>0.99999999999999989</v>
      </c>
      <c r="P25" s="3">
        <f>CORREL($N$4:$N$14,M4:M14)</f>
        <v>0.85496987568187233</v>
      </c>
      <c r="Q25" s="3">
        <f>CORREL($O$4:$O$14,M4:M14)</f>
        <v>0.48282971468230668</v>
      </c>
      <c r="R25" s="3">
        <f>CORREL($P$4:$P$14,M4:M14)</f>
        <v>0.77313659272487711</v>
      </c>
      <c r="S25" s="3">
        <f>CORREL($Q$4:$Q$14,M4:M14)</f>
        <v>0.30079510389463354</v>
      </c>
    </row>
    <row r="26" spans="12:19">
      <c r="L26" s="21" t="s">
        <v>94</v>
      </c>
      <c r="M26" s="63">
        <f>CORREL($K$4:$K$14,N4:N14)</f>
        <v>0.77923185547121676</v>
      </c>
      <c r="N26" s="3">
        <f>CORREL($L$4:$L$14,N4:N14)</f>
        <v>0.97110478793331922</v>
      </c>
      <c r="O26" s="3">
        <f>CORREL($M$4:$M$14,N4:N14)</f>
        <v>0.85496987568187233</v>
      </c>
      <c r="P26" s="3">
        <f>CORREL($N$4:$N$14,N4:N14)</f>
        <v>1.0000000000000002</v>
      </c>
      <c r="Q26" s="3">
        <f>CORREL($O$4:$O$14,N4:N14)</f>
        <v>0.66124399537904699</v>
      </c>
      <c r="R26" s="3">
        <f>CORREL($P$4:$P$14,N4:N14)</f>
        <v>0.61505778722623961</v>
      </c>
      <c r="S26" s="3">
        <f>CORREL($Q$4:$Q$14,N4:N14)</f>
        <v>0.32267617356464601</v>
      </c>
    </row>
    <row r="27" spans="12:19">
      <c r="L27" s="21" t="s">
        <v>95</v>
      </c>
      <c r="M27" s="27">
        <f>CORREL($K$4:$K$14,O4:O14)</f>
        <v>0.63098199246899811</v>
      </c>
      <c r="N27" s="3">
        <f>CORREL($L$4:$L$14,O4:O14)</f>
        <v>0.62727992019747336</v>
      </c>
      <c r="O27" s="3">
        <f>CORREL($M$4:$M$14,O4:O14)</f>
        <v>0.48282971468230668</v>
      </c>
      <c r="P27" s="3">
        <f>CORREL($N$4:$N$14,O4:O14)</f>
        <v>0.66124399537904699</v>
      </c>
      <c r="Q27" s="3">
        <f>CORREL($O$4:$O$14,O4:O14)</f>
        <v>0.99999999999999989</v>
      </c>
      <c r="R27" s="3">
        <f>CORREL($P$4:$P$14,O4:O14)</f>
        <v>0.25056275335252159</v>
      </c>
      <c r="S27" s="3">
        <f>CORREL($Q$4:$Q$14,O4:O14)</f>
        <v>-0.20640259128010546</v>
      </c>
    </row>
    <row r="28" spans="12:19">
      <c r="L28" s="21" t="s">
        <v>96</v>
      </c>
      <c r="M28" s="3">
        <f>CORREL($K$4:$K$14,P4:P14)</f>
        <v>0.28699912692497337</v>
      </c>
      <c r="N28" s="3">
        <f>CORREL($L$4:$L$14,P4:P14)</f>
        <v>0.6154679875860245</v>
      </c>
      <c r="O28" s="3">
        <f>CORREL($M$4:$M$14,P4:P14)</f>
        <v>0.77313659272487711</v>
      </c>
      <c r="P28" s="3">
        <f>CORREL($N$4:$N$14,P4:P14)</f>
        <v>0.61505778722623961</v>
      </c>
      <c r="Q28" s="3">
        <f>CORREL($O$4:$O$14,P4:P14)</f>
        <v>0.25056275335252159</v>
      </c>
      <c r="R28" s="3">
        <f>CORREL($P$4:$P$14,P4:P14)</f>
        <v>1.0000000000000002</v>
      </c>
      <c r="S28" s="3">
        <f>CORREL($Q$4:$Q$14,P4:P14)</f>
        <v>5.6430204072183091E-2</v>
      </c>
    </row>
    <row r="29" spans="12:19">
      <c r="L29" s="21" t="s">
        <v>99</v>
      </c>
      <c r="M29" s="3">
        <f>CORREL($K$4:$K$14,Q4:Q14)</f>
        <v>0.30449706127495302</v>
      </c>
      <c r="N29" s="3">
        <f>CORREL($L$4:$L$14,Q4:Q14)</f>
        <v>0.33672301529585041</v>
      </c>
      <c r="O29" s="3">
        <f>CORREL($M$4:$M$14,Q4:Q14)</f>
        <v>0.30079510389463354</v>
      </c>
      <c r="P29" s="3">
        <f>CORREL($N$4:$N$14,Q4:Q14)</f>
        <v>0.32267617356464601</v>
      </c>
      <c r="Q29" s="3">
        <f>CORREL($O$4:$O$14,Q4:Q14)</f>
        <v>-0.20640259128010546</v>
      </c>
      <c r="R29" s="3">
        <f>CORREL($P$4:$P$14,Q4:Q14)</f>
        <v>5.6430204072183091E-2</v>
      </c>
      <c r="S29" s="3">
        <f>CORREL($Q$4:$Q$14,Q4:Q14)</f>
        <v>1</v>
      </c>
    </row>
    <row r="30" spans="12:19">
      <c r="L30" s="21" t="s">
        <v>151</v>
      </c>
      <c r="M30">
        <f>MAX(M24:M29)</f>
        <v>0.77923185547121676</v>
      </c>
    </row>
    <row r="31" spans="12:19">
      <c r="L31" s="29" t="s">
        <v>101</v>
      </c>
      <c r="M31" s="21"/>
      <c r="N31" s="21"/>
      <c r="O31" s="21"/>
      <c r="P31" s="21"/>
      <c r="Q31" s="21"/>
      <c r="S31" s="3" t="s">
        <v>152</v>
      </c>
    </row>
    <row r="32" spans="12:19">
      <c r="L32" s="29" t="s">
        <v>102</v>
      </c>
      <c r="M32" s="21"/>
      <c r="N32" s="21"/>
      <c r="O32" s="21"/>
      <c r="P32" s="21"/>
      <c r="Q32" s="21"/>
      <c r="S32" s="3" t="s">
        <v>153</v>
      </c>
    </row>
    <row r="33" spans="12:19">
      <c r="L33" s="21" t="s">
        <v>103</v>
      </c>
      <c r="M33" s="21"/>
      <c r="N33" s="21"/>
      <c r="O33" s="21"/>
      <c r="P33" s="21"/>
      <c r="Q33" s="21"/>
      <c r="S33" s="3" t="s">
        <v>154</v>
      </c>
    </row>
  </sheetData>
  <hyperlinks>
    <hyperlink ref="A1" r:id="rId1"/>
  </hyperlinks>
  <pageMargins left="0.7" right="0.7" top="0.75" bottom="0.75" header="0.3" footer="0.3"/>
  <pageSetup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8"/>
  <sheetViews>
    <sheetView topLeftCell="C1" workbookViewId="0">
      <selection activeCell="P16" sqref="P16"/>
    </sheetView>
  </sheetViews>
  <sheetFormatPr defaultRowHeight="15"/>
  <cols>
    <col min="1" max="1" width="9.7109375" bestFit="1" customWidth="1"/>
    <col min="9" max="9" width="9.7109375" bestFit="1" customWidth="1"/>
    <col min="16" max="16" width="9.5703125" bestFit="1" customWidth="1"/>
    <col min="17" max="17" width="10.140625" bestFit="1" customWidth="1"/>
  </cols>
  <sheetData>
    <row r="1" spans="1:20">
      <c r="E1" t="s">
        <v>123</v>
      </c>
    </row>
    <row r="2" spans="1:20">
      <c r="B2" t="s">
        <v>104</v>
      </c>
      <c r="C2" t="s">
        <v>105</v>
      </c>
    </row>
    <row r="3" spans="1:20" ht="26.25">
      <c r="A3" s="24" t="s">
        <v>77</v>
      </c>
      <c r="B3" s="30" t="s">
        <v>78</v>
      </c>
      <c r="C3" s="30" t="s">
        <v>121</v>
      </c>
      <c r="D3" s="31" t="s">
        <v>106</v>
      </c>
      <c r="E3" s="31" t="s">
        <v>122</v>
      </c>
      <c r="G3" s="32" t="s">
        <v>107</v>
      </c>
      <c r="L3" s="33" t="s">
        <v>108</v>
      </c>
      <c r="O3" s="33"/>
      <c r="P3" s="34">
        <v>7000000</v>
      </c>
      <c r="Q3" s="33" t="s">
        <v>109</v>
      </c>
      <c r="R3" s="33"/>
      <c r="S3" s="33"/>
      <c r="T3" s="33"/>
    </row>
    <row r="4" spans="1:20" ht="21.75" customHeight="1">
      <c r="A4" s="35">
        <f>'Basis Risk'!A3</f>
        <v>42567</v>
      </c>
      <c r="B4" s="51">
        <v>0.48</v>
      </c>
      <c r="C4" s="61">
        <v>41.6</v>
      </c>
      <c r="D4" s="36"/>
      <c r="E4" s="36"/>
      <c r="L4" s="37" t="s">
        <v>128</v>
      </c>
      <c r="P4" s="33"/>
      <c r="Q4" s="33"/>
      <c r="R4" s="38">
        <v>42000</v>
      </c>
      <c r="S4" t="s">
        <v>110</v>
      </c>
      <c r="T4" s="33"/>
    </row>
    <row r="5" spans="1:20" ht="18">
      <c r="A5" s="35">
        <f>'Basis Risk'!A4</f>
        <v>42598</v>
      </c>
      <c r="B5" s="51">
        <v>0.45</v>
      </c>
      <c r="C5" s="61">
        <v>44.7</v>
      </c>
      <c r="D5" s="36">
        <f>B5-B4</f>
        <v>-2.9999999999999971E-2</v>
      </c>
      <c r="E5" s="36">
        <f>C5-C4</f>
        <v>3.1000000000000014</v>
      </c>
      <c r="H5" s="2" t="s">
        <v>111</v>
      </c>
      <c r="I5" s="3">
        <f>STDEV(D5:D15)</f>
        <v>7.5232971495216114E-2</v>
      </c>
      <c r="N5" s="33"/>
    </row>
    <row r="6" spans="1:20" ht="18">
      <c r="A6" s="35">
        <f>'Basis Risk'!A5</f>
        <v>42629</v>
      </c>
      <c r="B6" s="51">
        <v>0.5</v>
      </c>
      <c r="C6" s="61">
        <v>48.24</v>
      </c>
      <c r="D6" s="36">
        <f t="shared" ref="D6:E15" si="0">B6-B5</f>
        <v>4.9999999999999989E-2</v>
      </c>
      <c r="E6" s="36">
        <f t="shared" si="0"/>
        <v>3.5399999999999991</v>
      </c>
      <c r="F6" s="39"/>
      <c r="H6" s="2" t="s">
        <v>112</v>
      </c>
      <c r="I6" s="3">
        <f>STDEV(E5:E15)</f>
        <v>2.6259522947962046</v>
      </c>
    </row>
    <row r="7" spans="1:20" ht="18">
      <c r="A7" s="35">
        <f>'Basis Risk'!A6</f>
        <v>42659</v>
      </c>
      <c r="B7" s="51">
        <v>0.56999999999999995</v>
      </c>
      <c r="C7" s="61">
        <v>46.86</v>
      </c>
      <c r="D7" s="36">
        <f t="shared" si="0"/>
        <v>6.9999999999999951E-2</v>
      </c>
      <c r="E7" s="36">
        <f t="shared" si="0"/>
        <v>-1.3800000000000026</v>
      </c>
      <c r="F7" s="39"/>
      <c r="H7" s="2" t="s">
        <v>113</v>
      </c>
      <c r="I7" s="3">
        <f>'Basis Risk'!M26</f>
        <v>0.77923185547121676</v>
      </c>
    </row>
    <row r="8" spans="1:20" ht="14.25" customHeight="1">
      <c r="A8" s="35">
        <f>'Basis Risk'!A7</f>
        <v>42690</v>
      </c>
      <c r="B8" s="51">
        <v>0.54</v>
      </c>
      <c r="C8" s="61">
        <v>49.44</v>
      </c>
      <c r="D8" s="36">
        <f t="shared" si="0"/>
        <v>-2.9999999999999916E-2</v>
      </c>
      <c r="E8" s="36">
        <f t="shared" si="0"/>
        <v>2.5799999999999983</v>
      </c>
      <c r="F8" s="39"/>
    </row>
    <row r="9" spans="1:20">
      <c r="A9" s="35">
        <f>'Basis Risk'!A8</f>
        <v>42720</v>
      </c>
      <c r="B9" s="51">
        <v>0.64</v>
      </c>
      <c r="C9" s="61">
        <v>53.72</v>
      </c>
      <c r="D9" s="36">
        <f t="shared" si="0"/>
        <v>9.9999999999999978E-2</v>
      </c>
      <c r="E9" s="36">
        <f t="shared" si="0"/>
        <v>4.2800000000000011</v>
      </c>
      <c r="F9" s="39"/>
    </row>
    <row r="10" spans="1:20">
      <c r="A10" s="35">
        <f>'Basis Risk'!A9</f>
        <v>42751</v>
      </c>
      <c r="B10" s="51">
        <v>0.75</v>
      </c>
      <c r="C10" s="61">
        <v>52.81</v>
      </c>
      <c r="D10" s="36">
        <f t="shared" si="0"/>
        <v>0.10999999999999999</v>
      </c>
      <c r="E10" s="36">
        <f t="shared" si="0"/>
        <v>-0.90999999999999659</v>
      </c>
      <c r="F10" s="39"/>
      <c r="G10" s="2" t="s">
        <v>114</v>
      </c>
      <c r="H10" s="3">
        <f>(I5/I6)*I7</f>
        <v>2.2324825963900501E-2</v>
      </c>
    </row>
    <row r="11" spans="1:20">
      <c r="A11" s="35">
        <f>'Basis Risk'!A10</f>
        <v>42782</v>
      </c>
      <c r="B11" s="51">
        <v>0.77</v>
      </c>
      <c r="C11" s="61">
        <v>54.01</v>
      </c>
      <c r="D11" s="36">
        <f t="shared" si="0"/>
        <v>2.0000000000000018E-2</v>
      </c>
      <c r="E11" s="36">
        <f t="shared" si="0"/>
        <v>1.1999999999999957</v>
      </c>
      <c r="F11" s="39"/>
      <c r="G11" s="2" t="s">
        <v>55</v>
      </c>
      <c r="H11" s="66" t="s">
        <v>155</v>
      </c>
    </row>
    <row r="12" spans="1:20">
      <c r="A12" s="35">
        <f>'Basis Risk'!A11</f>
        <v>42810</v>
      </c>
      <c r="B12" s="51">
        <v>0.62</v>
      </c>
      <c r="C12" s="61">
        <v>50.6</v>
      </c>
      <c r="D12" s="36">
        <f t="shared" si="0"/>
        <v>-0.15000000000000002</v>
      </c>
      <c r="E12" s="36">
        <f t="shared" si="0"/>
        <v>-3.4099999999999966</v>
      </c>
      <c r="F12" s="39"/>
      <c r="G12" s="3" t="s">
        <v>115</v>
      </c>
      <c r="H12" s="3"/>
      <c r="I12" s="3"/>
      <c r="J12" s="3"/>
    </row>
    <row r="13" spans="1:20">
      <c r="A13" s="35">
        <f>'Basis Risk'!A12</f>
        <v>42841</v>
      </c>
      <c r="B13" s="51">
        <v>0.65</v>
      </c>
      <c r="C13" s="61">
        <v>49.33</v>
      </c>
      <c r="D13" s="36">
        <f t="shared" si="0"/>
        <v>3.0000000000000027E-2</v>
      </c>
      <c r="E13" s="36">
        <f t="shared" si="0"/>
        <v>-1.2700000000000031</v>
      </c>
      <c r="F13" s="39"/>
      <c r="G13" s="3" t="s">
        <v>116</v>
      </c>
      <c r="H13" s="10">
        <f>H10</f>
        <v>2.2324825963900501E-2</v>
      </c>
      <c r="I13" s="3" t="s">
        <v>117</v>
      </c>
      <c r="J13" s="3"/>
    </row>
    <row r="14" spans="1:20">
      <c r="A14" s="35">
        <f>'Basis Risk'!A13</f>
        <v>42871</v>
      </c>
      <c r="B14" s="51">
        <v>0.64</v>
      </c>
      <c r="C14" s="61">
        <v>48.32</v>
      </c>
      <c r="D14" s="36">
        <f t="shared" si="0"/>
        <v>-1.0000000000000009E-2</v>
      </c>
      <c r="E14" s="36">
        <f t="shared" si="0"/>
        <v>-1.009999999999998</v>
      </c>
      <c r="F14" s="39"/>
      <c r="G14" s="3"/>
      <c r="H14" s="3"/>
      <c r="I14" s="3"/>
      <c r="N14" s="11" t="s">
        <v>118</v>
      </c>
      <c r="O14" s="11"/>
      <c r="P14" s="51">
        <f>(7000000/42000)*H10</f>
        <v>3.7208043273167499</v>
      </c>
    </row>
    <row r="15" spans="1:20">
      <c r="A15" s="35">
        <f>'Basis Risk'!A14</f>
        <v>42902</v>
      </c>
      <c r="B15" s="51">
        <v>0.59</v>
      </c>
      <c r="C15" s="61">
        <v>46.04</v>
      </c>
      <c r="D15" s="36">
        <f t="shared" si="0"/>
        <v>-5.0000000000000044E-2</v>
      </c>
      <c r="E15" s="36">
        <f t="shared" si="0"/>
        <v>-2.2800000000000011</v>
      </c>
      <c r="F15" s="39"/>
      <c r="G15" s="3"/>
      <c r="H15" s="3"/>
      <c r="I15" s="3"/>
    </row>
    <row r="16" spans="1:20">
      <c r="F16" s="39"/>
      <c r="N16" s="3" t="s">
        <v>55</v>
      </c>
      <c r="O16" s="3"/>
      <c r="P16" s="3"/>
      <c r="Q16" s="3"/>
    </row>
    <row r="17" spans="14:17">
      <c r="N17" s="3" t="s">
        <v>119</v>
      </c>
      <c r="O17" s="3"/>
      <c r="P17" s="41">
        <v>4</v>
      </c>
      <c r="Q17" s="3" t="s">
        <v>127</v>
      </c>
    </row>
    <row r="18" spans="14:17">
      <c r="N18" s="3" t="s">
        <v>120</v>
      </c>
      <c r="O18" s="3"/>
      <c r="P18" s="3"/>
      <c r="Q18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sqref="A1:I21"/>
    </sheetView>
  </sheetViews>
  <sheetFormatPr defaultRowHeight="15"/>
  <sheetData>
    <row r="1" spans="1:9">
      <c r="A1" s="51" t="s">
        <v>124</v>
      </c>
    </row>
    <row r="2" spans="1:9" ht="15.75" thickBot="1"/>
    <row r="3" spans="1:9">
      <c r="A3" s="45" t="s">
        <v>156</v>
      </c>
      <c r="B3" s="45"/>
    </row>
    <row r="4" spans="1:9">
      <c r="A4" s="42" t="s">
        <v>157</v>
      </c>
      <c r="B4" s="42">
        <v>0.41253667231508095</v>
      </c>
    </row>
    <row r="5" spans="1:9">
      <c r="A5" s="42" t="s">
        <v>158</v>
      </c>
      <c r="B5" s="42">
        <v>0.17018650600480048</v>
      </c>
    </row>
    <row r="6" spans="1:9">
      <c r="A6" s="42" t="s">
        <v>159</v>
      </c>
      <c r="B6" s="42">
        <v>7.7985006672000534E-2</v>
      </c>
    </row>
    <row r="7" spans="1:9">
      <c r="A7" s="42" t="s">
        <v>160</v>
      </c>
      <c r="B7" s="42">
        <v>7.2239911837131118E-2</v>
      </c>
    </row>
    <row r="8" spans="1:9" ht="15.75" thickBot="1">
      <c r="A8" s="43" t="s">
        <v>161</v>
      </c>
      <c r="B8" s="43">
        <v>11</v>
      </c>
    </row>
    <row r="10" spans="1:9" ht="15.75" thickBot="1">
      <c r="A10" s="51" t="s">
        <v>162</v>
      </c>
    </row>
    <row r="11" spans="1:9">
      <c r="A11" s="44"/>
      <c r="B11" s="44" t="s">
        <v>167</v>
      </c>
      <c r="C11" s="44" t="s">
        <v>168</v>
      </c>
      <c r="D11" s="44" t="s">
        <v>169</v>
      </c>
      <c r="E11" s="44" t="s">
        <v>2</v>
      </c>
      <c r="F11" s="44" t="s">
        <v>170</v>
      </c>
    </row>
    <row r="12" spans="1:9">
      <c r="A12" s="42" t="s">
        <v>163</v>
      </c>
      <c r="B12" s="42">
        <v>1</v>
      </c>
      <c r="C12" s="42">
        <v>9.6325562398717063E-3</v>
      </c>
      <c r="D12" s="42">
        <v>9.6325562398717063E-3</v>
      </c>
      <c r="E12" s="42">
        <v>1.8458106130195866</v>
      </c>
      <c r="F12" s="42">
        <v>0.20734417708411057</v>
      </c>
    </row>
    <row r="13" spans="1:9">
      <c r="A13" s="42" t="s">
        <v>164</v>
      </c>
      <c r="B13" s="42">
        <v>9</v>
      </c>
      <c r="C13" s="42">
        <v>4.6967443760128291E-2</v>
      </c>
      <c r="D13" s="42">
        <v>5.2186048622364766E-3</v>
      </c>
      <c r="E13" s="42"/>
      <c r="F13" s="42"/>
    </row>
    <row r="14" spans="1:9" ht="15.75" thickBot="1">
      <c r="A14" s="43" t="s">
        <v>165</v>
      </c>
      <c r="B14" s="43">
        <v>10</v>
      </c>
      <c r="C14" s="43">
        <v>5.6599999999999998E-2</v>
      </c>
      <c r="D14" s="43"/>
      <c r="E14" s="43"/>
      <c r="F14" s="43"/>
    </row>
    <row r="15" spans="1:9" ht="15.75" thickBot="1"/>
    <row r="16" spans="1:9">
      <c r="A16" s="44"/>
      <c r="B16" s="44" t="s">
        <v>171</v>
      </c>
      <c r="C16" s="44" t="s">
        <v>160</v>
      </c>
      <c r="D16" s="44" t="s">
        <v>172</v>
      </c>
      <c r="E16" s="44" t="s">
        <v>173</v>
      </c>
      <c r="F16" s="44" t="s">
        <v>174</v>
      </c>
      <c r="G16" s="44" t="s">
        <v>175</v>
      </c>
      <c r="H16" s="44" t="s">
        <v>176</v>
      </c>
      <c r="I16" s="44" t="s">
        <v>177</v>
      </c>
    </row>
    <row r="17" spans="1:9">
      <c r="A17" s="42" t="s">
        <v>166</v>
      </c>
      <c r="B17" s="42">
        <v>5.2293865359698396E-3</v>
      </c>
      <c r="C17" s="42">
        <v>2.2062379154976251E-2</v>
      </c>
      <c r="D17" s="42">
        <v>0.23702731691973175</v>
      </c>
      <c r="E17" s="42">
        <v>0.81794279551986959</v>
      </c>
      <c r="F17" s="42">
        <v>-4.4679182395799329E-2</v>
      </c>
      <c r="G17" s="42">
        <v>5.513795546773901E-2</v>
      </c>
      <c r="H17" s="42">
        <v>-4.4679182395799329E-2</v>
      </c>
      <c r="I17" s="42">
        <v>5.513795546773901E-2</v>
      </c>
    </row>
    <row r="18" spans="1:9" ht="15.75" thickBot="1">
      <c r="A18" s="43" t="s">
        <v>178</v>
      </c>
      <c r="B18" s="43">
        <v>1.1819087410885535E-2</v>
      </c>
      <c r="C18" s="43">
        <v>8.699421532820422E-3</v>
      </c>
      <c r="D18" s="43">
        <v>1.358606128728848</v>
      </c>
      <c r="E18" s="43">
        <v>0.20734417708411057</v>
      </c>
      <c r="F18" s="43">
        <v>-7.8603712815535857E-3</v>
      </c>
      <c r="G18" s="43">
        <v>3.1498546103324657E-2</v>
      </c>
      <c r="H18" s="43">
        <v>-7.8603712815535857E-3</v>
      </c>
      <c r="I18" s="43">
        <v>3.1498546103324657E-2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I33"/>
  <sheetViews>
    <sheetView tabSelected="1" topLeftCell="A16" workbookViewId="0">
      <selection activeCell="F10" sqref="F10"/>
    </sheetView>
  </sheetViews>
  <sheetFormatPr defaultRowHeight="15"/>
  <cols>
    <col min="1" max="1" width="14.7109375" customWidth="1"/>
    <col min="2" max="2" width="11.7109375" customWidth="1"/>
  </cols>
  <sheetData>
    <row r="2" spans="1:7">
      <c r="A2" s="31" t="s">
        <v>106</v>
      </c>
      <c r="B2" s="31" t="s">
        <v>122</v>
      </c>
    </row>
    <row r="3" spans="1:7">
      <c r="A3" s="36"/>
      <c r="B3" s="36"/>
    </row>
    <row r="4" spans="1:7" ht="18.75">
      <c r="A4" s="36">
        <f>'Optimal hedge ratio'!D5</f>
        <v>-2.9999999999999971E-2</v>
      </c>
      <c r="B4" s="36">
        <f>'Optimal hedge ratio'!E5</f>
        <v>3.1000000000000014</v>
      </c>
      <c r="D4" s="58"/>
      <c r="E4" s="59"/>
      <c r="F4" s="59"/>
      <c r="G4" s="59"/>
    </row>
    <row r="5" spans="1:7">
      <c r="A5" s="36">
        <f>'Optimal hedge ratio'!D6</f>
        <v>4.9999999999999989E-2</v>
      </c>
      <c r="B5" s="36">
        <f>'Optimal hedge ratio'!E6</f>
        <v>3.5399999999999991</v>
      </c>
    </row>
    <row r="6" spans="1:7">
      <c r="A6" s="36">
        <f>'Optimal hedge ratio'!D7</f>
        <v>6.9999999999999951E-2</v>
      </c>
      <c r="B6" s="36">
        <f>'Optimal hedge ratio'!E7</f>
        <v>-1.3800000000000026</v>
      </c>
    </row>
    <row r="7" spans="1:7">
      <c r="A7" s="36">
        <f>'Optimal hedge ratio'!D8</f>
        <v>-2.9999999999999916E-2</v>
      </c>
      <c r="B7" s="36">
        <f>'Optimal hedge ratio'!E8</f>
        <v>2.5799999999999983</v>
      </c>
      <c r="D7" s="46" t="s">
        <v>125</v>
      </c>
      <c r="E7" s="3">
        <f>B33</f>
        <v>1.1819087410885535E-2</v>
      </c>
    </row>
    <row r="8" spans="1:7">
      <c r="A8" s="36">
        <f>'Optimal hedge ratio'!D9</f>
        <v>9.9999999999999978E-2</v>
      </c>
      <c r="B8" s="36">
        <f>'Optimal hedge ratio'!E9</f>
        <v>4.2800000000000011</v>
      </c>
    </row>
    <row r="9" spans="1:7">
      <c r="A9" s="36">
        <f>'Optimal hedge ratio'!D10</f>
        <v>0.10999999999999999</v>
      </c>
      <c r="B9" s="36">
        <f>'Optimal hedge ratio'!E10</f>
        <v>-0.90999999999999659</v>
      </c>
      <c r="D9" s="21" t="s">
        <v>126</v>
      </c>
      <c r="E9" s="21"/>
      <c r="F9" s="40">
        <f>(7000000/42000)*E7</f>
        <v>1.9698479018142556</v>
      </c>
    </row>
    <row r="10" spans="1:7">
      <c r="A10" s="36">
        <f>'Optimal hedge ratio'!D11</f>
        <v>2.0000000000000018E-2</v>
      </c>
      <c r="B10" s="36">
        <f>'Optimal hedge ratio'!E11</f>
        <v>1.1999999999999957</v>
      </c>
    </row>
    <row r="11" spans="1:7">
      <c r="A11" s="36">
        <f>'Optimal hedge ratio'!D12</f>
        <v>-0.15000000000000002</v>
      </c>
      <c r="B11" s="36">
        <f>'Optimal hedge ratio'!E12</f>
        <v>-3.4099999999999966</v>
      </c>
    </row>
    <row r="12" spans="1:7">
      <c r="A12" s="36">
        <f>'Optimal hedge ratio'!D13</f>
        <v>3.0000000000000027E-2</v>
      </c>
      <c r="B12" s="36">
        <f>'Optimal hedge ratio'!E13</f>
        <v>-1.2700000000000031</v>
      </c>
    </row>
    <row r="13" spans="1:7">
      <c r="A13" s="36">
        <f>'Optimal hedge ratio'!D14</f>
        <v>-1.0000000000000009E-2</v>
      </c>
      <c r="B13" s="36">
        <f>'Optimal hedge ratio'!E14</f>
        <v>-1.009999999999998</v>
      </c>
    </row>
    <row r="14" spans="1:7">
      <c r="A14" s="36">
        <f>'Optimal hedge ratio'!D15</f>
        <v>-5.0000000000000044E-2</v>
      </c>
      <c r="B14" s="36">
        <f>'Optimal hedge ratio'!E15</f>
        <v>-2.2800000000000011</v>
      </c>
    </row>
    <row r="16" spans="1:7">
      <c r="A16" s="51" t="s">
        <v>124</v>
      </c>
    </row>
    <row r="17" spans="1:9" ht="15.75" thickBot="1"/>
    <row r="18" spans="1:9">
      <c r="A18" s="45" t="s">
        <v>156</v>
      </c>
      <c r="B18" s="45"/>
    </row>
    <row r="19" spans="1:9">
      <c r="A19" s="42" t="s">
        <v>157</v>
      </c>
      <c r="B19" s="42">
        <v>0.41253667231508095</v>
      </c>
    </row>
    <row r="20" spans="1:9">
      <c r="A20" s="42" t="s">
        <v>158</v>
      </c>
      <c r="B20" s="42">
        <v>0.17018650600480048</v>
      </c>
    </row>
    <row r="21" spans="1:9">
      <c r="A21" s="42" t="s">
        <v>159</v>
      </c>
      <c r="B21" s="42">
        <v>7.7985006672000534E-2</v>
      </c>
    </row>
    <row r="22" spans="1:9">
      <c r="A22" s="42" t="s">
        <v>160</v>
      </c>
      <c r="B22" s="42">
        <v>7.2239911837131118E-2</v>
      </c>
    </row>
    <row r="23" spans="1:9" ht="15.75" thickBot="1">
      <c r="A23" s="43" t="s">
        <v>161</v>
      </c>
      <c r="B23" s="43">
        <v>11</v>
      </c>
    </row>
    <row r="25" spans="1:9" ht="15.75" thickBot="1">
      <c r="A25" s="51" t="s">
        <v>162</v>
      </c>
    </row>
    <row r="26" spans="1:9">
      <c r="A26" s="44"/>
      <c r="B26" s="44" t="s">
        <v>167</v>
      </c>
      <c r="C26" s="44" t="s">
        <v>168</v>
      </c>
      <c r="D26" s="44" t="s">
        <v>169</v>
      </c>
      <c r="E26" s="44" t="s">
        <v>2</v>
      </c>
      <c r="F26" s="44" t="s">
        <v>170</v>
      </c>
    </row>
    <row r="27" spans="1:9">
      <c r="A27" s="42" t="s">
        <v>163</v>
      </c>
      <c r="B27" s="42">
        <v>1</v>
      </c>
      <c r="C27" s="42">
        <v>9.6325562398717063E-3</v>
      </c>
      <c r="D27" s="42">
        <v>9.6325562398717063E-3</v>
      </c>
      <c r="E27" s="42">
        <v>1.8458106130195866</v>
      </c>
      <c r="F27" s="42">
        <v>0.20734417708411057</v>
      </c>
    </row>
    <row r="28" spans="1:9">
      <c r="A28" s="42" t="s">
        <v>164</v>
      </c>
      <c r="B28" s="42">
        <v>9</v>
      </c>
      <c r="C28" s="42">
        <v>4.6967443760128291E-2</v>
      </c>
      <c r="D28" s="42">
        <v>5.2186048622364766E-3</v>
      </c>
      <c r="E28" s="42"/>
      <c r="F28" s="42"/>
    </row>
    <row r="29" spans="1:9" ht="15.75" thickBot="1">
      <c r="A29" s="43" t="s">
        <v>165</v>
      </c>
      <c r="B29" s="43">
        <v>10</v>
      </c>
      <c r="C29" s="43">
        <v>5.6599999999999998E-2</v>
      </c>
      <c r="D29" s="43"/>
      <c r="E29" s="43"/>
      <c r="F29" s="43"/>
    </row>
    <row r="30" spans="1:9" ht="15.75" thickBot="1"/>
    <row r="31" spans="1:9">
      <c r="A31" s="44"/>
      <c r="B31" s="44" t="s">
        <v>171</v>
      </c>
      <c r="C31" s="44" t="s">
        <v>160</v>
      </c>
      <c r="D31" s="44" t="s">
        <v>172</v>
      </c>
      <c r="E31" s="44" t="s">
        <v>173</v>
      </c>
      <c r="F31" s="44" t="s">
        <v>174</v>
      </c>
      <c r="G31" s="44" t="s">
        <v>175</v>
      </c>
      <c r="H31" s="44" t="s">
        <v>176</v>
      </c>
      <c r="I31" s="44" t="s">
        <v>177</v>
      </c>
    </row>
    <row r="32" spans="1:9">
      <c r="A32" s="42" t="s">
        <v>166</v>
      </c>
      <c r="B32" s="42">
        <v>5.2293865359698396E-3</v>
      </c>
      <c r="C32" s="42">
        <v>2.2062379154976251E-2</v>
      </c>
      <c r="D32" s="42">
        <v>0.23702731691973175</v>
      </c>
      <c r="E32" s="42">
        <v>0.81794279551986959</v>
      </c>
      <c r="F32" s="42">
        <v>-4.4679182395799329E-2</v>
      </c>
      <c r="G32" s="42">
        <v>5.513795546773901E-2</v>
      </c>
      <c r="H32" s="42">
        <v>-4.4679182395799329E-2</v>
      </c>
      <c r="I32" s="42">
        <v>5.513795546773901E-2</v>
      </c>
    </row>
    <row r="33" spans="1:9" ht="15.75" thickBot="1">
      <c r="A33" s="43" t="s">
        <v>178</v>
      </c>
      <c r="B33" s="43">
        <v>1.1819087410885535E-2</v>
      </c>
      <c r="C33" s="43">
        <v>8.699421532820422E-3</v>
      </c>
      <c r="D33" s="43">
        <v>1.358606128728848</v>
      </c>
      <c r="E33" s="43">
        <v>0.20734417708411057</v>
      </c>
      <c r="F33" s="43">
        <v>-7.8603712815535857E-3</v>
      </c>
      <c r="G33" s="43">
        <v>3.1498546103324657E-2</v>
      </c>
      <c r="H33" s="43">
        <v>-7.8603712815535857E-3</v>
      </c>
      <c r="I33" s="43">
        <v>3.1498546103324657E-2</v>
      </c>
    </row>
  </sheetData>
  <mergeCells count="1">
    <mergeCell ref="D4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8" sqref="E28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2"/>
  <sheetViews>
    <sheetView topLeftCell="A19" workbookViewId="0">
      <selection activeCell="A21" sqref="A21:L33"/>
    </sheetView>
  </sheetViews>
  <sheetFormatPr defaultRowHeight="15"/>
  <cols>
    <col min="1" max="1" width="15" bestFit="1" customWidth="1"/>
  </cols>
  <sheetData>
    <row r="1" spans="1:4">
      <c r="A1" t="s">
        <v>132</v>
      </c>
      <c r="B1">
        <v>100000</v>
      </c>
    </row>
    <row r="2" spans="1:4">
      <c r="A2" t="s">
        <v>133</v>
      </c>
      <c r="B2">
        <v>180</v>
      </c>
    </row>
    <row r="3" spans="1:4">
      <c r="A3" t="s">
        <v>134</v>
      </c>
      <c r="B3">
        <v>7.0209545930259451E-2</v>
      </c>
      <c r="D3" t="s">
        <v>139</v>
      </c>
    </row>
    <row r="4" spans="1:4">
      <c r="A4" t="s">
        <v>135</v>
      </c>
      <c r="B4" s="50">
        <f>PMT(B3/12,B2,B1)</f>
        <v>-900.00019545452051</v>
      </c>
    </row>
    <row r="7" spans="1:4">
      <c r="A7" s="47" t="s">
        <v>140</v>
      </c>
      <c r="B7">
        <v>100</v>
      </c>
    </row>
    <row r="8" spans="1:4">
      <c r="A8" s="47" t="s">
        <v>134</v>
      </c>
      <c r="B8">
        <v>0.05</v>
      </c>
    </row>
    <row r="9" spans="1:4">
      <c r="A9" s="47" t="s">
        <v>141</v>
      </c>
      <c r="B9">
        <v>2</v>
      </c>
    </row>
    <row r="10" spans="1:4">
      <c r="A10" s="47" t="s">
        <v>143</v>
      </c>
      <c r="B10">
        <v>4</v>
      </c>
    </row>
    <row r="11" spans="1:4">
      <c r="A11" s="47" t="s">
        <v>142</v>
      </c>
      <c r="B11">
        <f>B7*(1+(B8/B10))^(B9*B10)</f>
        <v>110.44861011814122</v>
      </c>
    </row>
    <row r="14" spans="1:4">
      <c r="A14" s="47" t="s">
        <v>140</v>
      </c>
      <c r="B14" s="47">
        <v>100</v>
      </c>
    </row>
    <row r="15" spans="1:4">
      <c r="A15" s="47" t="s">
        <v>134</v>
      </c>
      <c r="B15" s="47">
        <v>0.05</v>
      </c>
      <c r="D15" s="47" t="s">
        <v>144</v>
      </c>
    </row>
    <row r="16" spans="1:4">
      <c r="A16" s="47" t="s">
        <v>141</v>
      </c>
      <c r="B16" s="47">
        <v>1.9999980792589562</v>
      </c>
    </row>
    <row r="17" spans="1:11">
      <c r="A17" s="47" t="s">
        <v>143</v>
      </c>
      <c r="B17" s="47">
        <v>4</v>
      </c>
    </row>
    <row r="18" spans="1:11">
      <c r="A18" s="47" t="s">
        <v>142</v>
      </c>
      <c r="B18" s="47">
        <f>B14*(1+(B15/B17))^(B16*B17)</f>
        <v>110.44859957673019</v>
      </c>
    </row>
    <row r="22" spans="1:11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</row>
    <row r="23" spans="1:11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</row>
    <row r="24" spans="1:11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</row>
    <row r="25" spans="1:11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</row>
    <row r="26" spans="1:11">
      <c r="A26" s="61"/>
      <c r="B26" s="61"/>
      <c r="C26" s="61"/>
      <c r="D26" s="61"/>
    </row>
    <row r="27" spans="1:11">
      <c r="A27" s="61"/>
      <c r="B27" s="61"/>
      <c r="C27" s="61"/>
      <c r="D27" s="61"/>
    </row>
    <row r="28" spans="1:11">
      <c r="A28" s="61"/>
      <c r="B28" s="61"/>
      <c r="C28" s="61"/>
      <c r="D28" s="61"/>
    </row>
    <row r="29" spans="1:11">
      <c r="A29" s="61"/>
      <c r="B29" s="61"/>
      <c r="C29" s="61"/>
      <c r="D29" s="61"/>
    </row>
    <row r="30" spans="1:11">
      <c r="A30" s="61"/>
      <c r="B30" s="61"/>
      <c r="C30" s="61"/>
      <c r="D30" s="61"/>
    </row>
    <row r="31" spans="1:11">
      <c r="A31" s="61"/>
      <c r="B31" s="61"/>
      <c r="C31" s="61"/>
      <c r="D31" s="61"/>
    </row>
    <row r="32" spans="1:11">
      <c r="A32" s="61"/>
      <c r="B32" s="61"/>
      <c r="C32" s="61"/>
      <c r="D32" s="6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Bond price,Bond yield,Duration</vt:lpstr>
      <vt:lpstr>Yield Curve</vt:lpstr>
      <vt:lpstr>Treasury YC</vt:lpstr>
      <vt:lpstr>Basis Risk</vt:lpstr>
      <vt:lpstr>Optimal hedge ratio</vt:lpstr>
      <vt:lpstr>Sheet4</vt:lpstr>
      <vt:lpstr>EXTRA Linear Regression</vt:lpstr>
      <vt:lpstr>EXTRA Bond and Commodity</vt:lpstr>
      <vt:lpstr>GoalSeek help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</dc:creator>
  <cp:lastModifiedBy>kittu</cp:lastModifiedBy>
  <dcterms:created xsi:type="dcterms:W3CDTF">2017-07-27T21:18:10Z</dcterms:created>
  <dcterms:modified xsi:type="dcterms:W3CDTF">2017-08-07T12:05:34Z</dcterms:modified>
</cp:coreProperties>
</file>