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705C91B-09DF-4881-891B-342D471153E6}" xr6:coauthVersionLast="28" xr6:coauthVersionMax="28" xr10:uidLastSave="{00000000-0000-0000-0000-000000000000}"/>
  <bookViews>
    <workbookView xWindow="0" yWindow="0" windowWidth="22260" windowHeight="12645" tabRatio="425" activeTab="2" xr2:uid="{00000000-000D-0000-FFFF-FFFF00000000}"/>
  </bookViews>
  <sheets>
    <sheet name="Portfolio Basics" sheetId="1" r:id="rId1"/>
    <sheet name="Matrix Algebra" sheetId="2" r:id="rId2"/>
    <sheet name="SAA_TAA" sheetId="4" r:id="rId3"/>
  </sheets>
  <definedNames>
    <definedName name="solver_adj" localSheetId="2" hidden="1">SAA_TAA!$B$16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0</definedName>
    <definedName name="solver_nwt" localSheetId="2" hidden="1">1</definedName>
    <definedName name="solver_opt" localSheetId="2" hidden="1">SAA_TAA!$C$16</definedName>
    <definedName name="solver_pre" localSheetId="2" hidden="1">0.000001</definedName>
    <definedName name="solver_rbv" localSheetId="2" hidden="1">1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3</definedName>
    <definedName name="solver_val" localSheetId="2" hidden="1">0.2</definedName>
    <definedName name="solver_ver" localSheetId="2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29" i="4" l="1"/>
  <c r="P29" i="4"/>
  <c r="S24" i="4"/>
  <c r="P24" i="4"/>
  <c r="O6" i="4"/>
  <c r="O11" i="4" s="1"/>
  <c r="O5" i="4"/>
  <c r="O10" i="4" s="1"/>
  <c r="B6" i="4"/>
  <c r="B11" i="4" s="1"/>
  <c r="B5" i="4"/>
  <c r="B7" i="4" s="1"/>
  <c r="C5" i="4" s="1"/>
  <c r="P6" i="4" l="1"/>
  <c r="O16" i="4"/>
  <c r="O12" i="4"/>
  <c r="O19" i="4" s="1"/>
  <c r="R15" i="4"/>
  <c r="O7" i="4"/>
  <c r="P5" i="4"/>
  <c r="B10" i="4"/>
  <c r="E16" i="4"/>
  <c r="B15" i="4" s="1"/>
  <c r="C6" i="4"/>
  <c r="B12" i="4"/>
  <c r="P10" i="4" s="1"/>
  <c r="P11" i="4" l="1"/>
  <c r="C11" i="4"/>
  <c r="P15" i="4"/>
  <c r="R16" i="4"/>
  <c r="P16" i="4"/>
  <c r="O25" i="4"/>
  <c r="O17" i="4"/>
  <c r="B17" i="4"/>
  <c r="C15" i="4"/>
  <c r="E15" i="4"/>
  <c r="C10" i="4"/>
  <c r="B19" i="4"/>
  <c r="C16" i="4"/>
  <c r="O26" i="4" l="1"/>
  <c r="O30" i="4"/>
  <c r="P25" i="4"/>
  <c r="O31" i="4" l="1"/>
  <c r="P30" i="4"/>
  <c r="M16" i="2" l="1" a="1"/>
  <c r="M16" i="2" s="1"/>
  <c r="W13" i="2"/>
  <c r="V13" i="2"/>
  <c r="U13" i="2"/>
  <c r="T13" i="2"/>
  <c r="S13" i="2"/>
  <c r="R13" i="2"/>
  <c r="Q13" i="2"/>
  <c r="P13" i="2"/>
  <c r="O13" i="2"/>
  <c r="N13" i="2"/>
  <c r="X13" i="2" s="1"/>
  <c r="W12" i="2"/>
  <c r="V12" i="2"/>
  <c r="U12" i="2"/>
  <c r="T12" i="2"/>
  <c r="S12" i="2"/>
  <c r="R12" i="2"/>
  <c r="Q12" i="2"/>
  <c r="P12" i="2"/>
  <c r="X12" i="2" s="1"/>
  <c r="O12" i="2"/>
  <c r="N12" i="2"/>
  <c r="X11" i="2"/>
  <c r="X10" i="2"/>
  <c r="X9" i="2"/>
  <c r="X8" i="2"/>
  <c r="X7" i="2"/>
  <c r="X6" i="2"/>
  <c r="X5" i="2"/>
  <c r="X4" i="2"/>
  <c r="B31" i="2" a="1"/>
  <c r="B31" i="2" s="1"/>
  <c r="R25" i="2" l="1"/>
  <c r="T24" i="2"/>
  <c r="V23" i="2"/>
  <c r="N23" i="2"/>
  <c r="P22" i="2"/>
  <c r="R21" i="2"/>
  <c r="T20" i="2"/>
  <c r="V19" i="2"/>
  <c r="N19" i="2"/>
  <c r="P18" i="2"/>
  <c r="R17" i="2"/>
  <c r="T16" i="2"/>
  <c r="U25" i="2"/>
  <c r="M25" i="2"/>
  <c r="O24" i="2"/>
  <c r="Q23" i="2"/>
  <c r="S22" i="2"/>
  <c r="U21" i="2"/>
  <c r="M21" i="2"/>
  <c r="O20" i="2"/>
  <c r="U19" i="2"/>
  <c r="M19" i="2"/>
  <c r="O18" i="2"/>
  <c r="U17" i="2"/>
  <c r="Q17" i="2"/>
  <c r="M17" i="2"/>
  <c r="O16" i="2"/>
  <c r="T25" i="2"/>
  <c r="P25" i="2"/>
  <c r="V24" i="2"/>
  <c r="R24" i="2"/>
  <c r="N24" i="2"/>
  <c r="T23" i="2"/>
  <c r="P23" i="2"/>
  <c r="V22" i="2"/>
  <c r="R22" i="2"/>
  <c r="N22" i="2"/>
  <c r="T21" i="2"/>
  <c r="P21" i="2"/>
  <c r="V20" i="2"/>
  <c r="R20" i="2"/>
  <c r="N20" i="2"/>
  <c r="T19" i="2"/>
  <c r="P19" i="2"/>
  <c r="V18" i="2"/>
  <c r="R18" i="2"/>
  <c r="N18" i="2"/>
  <c r="T17" i="2"/>
  <c r="P17" i="2"/>
  <c r="V16" i="2"/>
  <c r="R16" i="2"/>
  <c r="N16" i="2"/>
  <c r="V25" i="2"/>
  <c r="N25" i="2"/>
  <c r="P24" i="2"/>
  <c r="R23" i="2"/>
  <c r="T22" i="2"/>
  <c r="V21" i="2"/>
  <c r="N21" i="2"/>
  <c r="P20" i="2"/>
  <c r="R19" i="2"/>
  <c r="T18" i="2"/>
  <c r="V17" i="2"/>
  <c r="N17" i="2"/>
  <c r="P16" i="2"/>
  <c r="Q25" i="2"/>
  <c r="S24" i="2"/>
  <c r="U23" i="2"/>
  <c r="M23" i="2"/>
  <c r="O22" i="2"/>
  <c r="Q21" i="2"/>
  <c r="S20" i="2"/>
  <c r="Q19" i="2"/>
  <c r="S18" i="2"/>
  <c r="S16" i="2"/>
  <c r="S25" i="2"/>
  <c r="O25" i="2"/>
  <c r="U24" i="2"/>
  <c r="Q24" i="2"/>
  <c r="M24" i="2"/>
  <c r="S23" i="2"/>
  <c r="O23" i="2"/>
  <c r="U22" i="2"/>
  <c r="Q22" i="2"/>
  <c r="M22" i="2"/>
  <c r="S21" i="2"/>
  <c r="O21" i="2"/>
  <c r="U20" i="2"/>
  <c r="Q20" i="2"/>
  <c r="M20" i="2"/>
  <c r="S19" i="2"/>
  <c r="O19" i="2"/>
  <c r="U18" i="2"/>
  <c r="Q18" i="2"/>
  <c r="M18" i="2"/>
  <c r="S17" i="2"/>
  <c r="O17" i="2"/>
  <c r="U16" i="2"/>
  <c r="Q16" i="2"/>
  <c r="B34" i="2"/>
  <c r="E31" i="2"/>
  <c r="E34" i="2"/>
  <c r="F33" i="2"/>
  <c r="B33" i="2"/>
  <c r="C32" i="2"/>
  <c r="D31" i="2"/>
  <c r="C33" i="2"/>
  <c r="D34" i="2"/>
  <c r="E33" i="2"/>
  <c r="F32" i="2"/>
  <c r="B32" i="2"/>
  <c r="C31" i="2"/>
  <c r="F34" i="2"/>
  <c r="D32" i="2"/>
  <c r="C34" i="2"/>
  <c r="D33" i="2"/>
  <c r="E32" i="2"/>
  <c r="F31" i="2"/>
  <c r="B26" i="2" a="1"/>
  <c r="D27" i="2" s="1"/>
  <c r="A19" i="2" a="1"/>
  <c r="D19" i="2" s="1"/>
  <c r="A12" i="2" a="1"/>
  <c r="B12" i="2" s="1"/>
  <c r="F27" i="2" l="1"/>
  <c r="E27" i="2"/>
  <c r="D28" i="2"/>
  <c r="E28" i="2"/>
  <c r="E26" i="2"/>
  <c r="E29" i="2"/>
  <c r="F29" i="2"/>
  <c r="F28" i="2"/>
  <c r="B28" i="2"/>
  <c r="B29" i="2"/>
  <c r="D26" i="2"/>
  <c r="B27" i="2"/>
  <c r="C27" i="2"/>
  <c r="F26" i="2"/>
  <c r="C28" i="2"/>
  <c r="D29" i="2"/>
  <c r="C26" i="2"/>
  <c r="C29" i="2"/>
  <c r="B26" i="2"/>
  <c r="B19" i="2"/>
  <c r="B23" i="2"/>
  <c r="D22" i="2"/>
  <c r="C22" i="2"/>
  <c r="B22" i="2"/>
  <c r="A21" i="2"/>
  <c r="D21" i="2"/>
  <c r="C19" i="2"/>
  <c r="A19" i="2"/>
  <c r="C23" i="2"/>
  <c r="A23" i="2"/>
  <c r="C21" i="2"/>
  <c r="B20" i="2"/>
  <c r="A20" i="2"/>
  <c r="D20" i="2"/>
  <c r="C20" i="2"/>
  <c r="B21" i="2"/>
  <c r="A22" i="2"/>
  <c r="D23" i="2"/>
  <c r="A12" i="2"/>
  <c r="B15" i="2"/>
  <c r="A15" i="2"/>
  <c r="D12" i="2"/>
  <c r="B14" i="2"/>
  <c r="A14" i="2"/>
  <c r="D15" i="2"/>
  <c r="C16" i="2"/>
  <c r="C12" i="2"/>
  <c r="B13" i="2"/>
  <c r="A16" i="2"/>
  <c r="D13" i="2"/>
  <c r="C14" i="2"/>
  <c r="D16" i="2"/>
  <c r="C13" i="2"/>
  <c r="A13" i="2"/>
  <c r="D14" i="2"/>
  <c r="C15" i="2"/>
  <c r="B16" i="2"/>
  <c r="L100" i="1" l="1"/>
  <c r="L99" i="1"/>
  <c r="B85" i="1"/>
  <c r="B83" i="1"/>
  <c r="B82" i="1"/>
  <c r="B81" i="1"/>
  <c r="C76" i="1"/>
  <c r="B76" i="1"/>
  <c r="N75" i="1"/>
  <c r="N74" i="1"/>
  <c r="O73" i="1"/>
  <c r="N73" i="1"/>
  <c r="P72" i="1"/>
  <c r="O72" i="1"/>
  <c r="N72" i="1"/>
  <c r="V72" i="1" s="1"/>
  <c r="V73" i="1" s="1"/>
  <c r="P71" i="1"/>
  <c r="O71" i="1"/>
  <c r="W71" i="1" s="1"/>
  <c r="N71" i="1"/>
  <c r="T69" i="1"/>
  <c r="R69" i="1"/>
  <c r="T68" i="1"/>
  <c r="R68" i="1"/>
  <c r="T67" i="1"/>
  <c r="R67" i="1"/>
  <c r="T66" i="1"/>
  <c r="R66" i="1"/>
  <c r="T65" i="1"/>
  <c r="T71" i="1" s="1"/>
  <c r="R65" i="1"/>
  <c r="R72" i="1" s="1"/>
  <c r="R73" i="1" s="1"/>
  <c r="W72" i="1" l="1"/>
  <c r="W73" i="1" s="1"/>
  <c r="R71" i="1"/>
  <c r="T72" i="1"/>
  <c r="T73" i="1" s="1"/>
  <c r="P73" i="1"/>
  <c r="V71" i="1"/>
  <c r="D51" i="1" l="1"/>
  <c r="D50" i="1"/>
  <c r="D57" i="1" s="1"/>
  <c r="K38" i="1"/>
  <c r="K34" i="1"/>
  <c r="K33" i="1"/>
  <c r="L21" i="1"/>
  <c r="L20" i="1"/>
  <c r="L19" i="1"/>
  <c r="L18" i="1"/>
  <c r="W7" i="1"/>
  <c r="S7" i="1"/>
  <c r="O7" i="1"/>
  <c r="K7" i="1"/>
  <c r="K10" i="1" l="1"/>
  <c r="K21" i="1" s="1"/>
  <c r="L15" i="1"/>
  <c r="K19" i="1" l="1"/>
  <c r="M18" i="1"/>
  <c r="K20" i="1"/>
  <c r="M19" i="1"/>
  <c r="K18" i="1"/>
  <c r="K22" i="1" s="1"/>
  <c r="M20" i="1"/>
  <c r="K23" i="1" s="1"/>
  <c r="M2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5" authorId="0" shapeId="0" xr:uid="{E8B1F896-4524-4D13-B83B-4AE684B8A025}">
      <text>
        <r>
          <rPr>
            <b/>
            <sz val="9"/>
            <color indexed="81"/>
            <rFont val="Tahoma"/>
            <family val="2"/>
          </rPr>
          <t>weight*initialVal</t>
        </r>
      </text>
    </comment>
    <comment ref="C5" authorId="0" shapeId="0" xr:uid="{5D2E87CC-608D-449A-B581-345CAE4B2A18}">
      <text>
        <r>
          <rPr>
            <b/>
            <sz val="9"/>
            <color indexed="81"/>
            <rFont val="Tahoma"/>
            <family val="2"/>
          </rPr>
          <t>Stocks/Vi</t>
        </r>
      </text>
    </comment>
    <comment ref="B6" authorId="0" shapeId="0" xr:uid="{74BB366B-3176-4D15-A5E0-805A39C94926}">
      <text>
        <r>
          <rPr>
            <b/>
            <sz val="9"/>
            <color indexed="81"/>
            <rFont val="Tahoma"/>
            <family val="2"/>
          </rPr>
          <t>weight*initialVal</t>
        </r>
      </text>
    </comment>
    <comment ref="C6" authorId="0" shapeId="0" xr:uid="{230A9400-0E07-4BA7-B181-13C3B4D0BD13}">
      <text>
        <r>
          <rPr>
            <b/>
            <sz val="9"/>
            <color indexed="81"/>
            <rFont val="Tahoma"/>
            <family val="2"/>
          </rPr>
          <t xml:space="preserve">Bonds/Vi
</t>
        </r>
      </text>
    </comment>
    <comment ref="B7" authorId="0" shapeId="0" xr:uid="{CAEA1DC1-57C2-4557-A239-FB9A8FD99D88}">
      <text>
        <r>
          <rPr>
            <b/>
            <sz val="9"/>
            <color indexed="81"/>
            <rFont val="Tahoma"/>
            <family val="2"/>
          </rPr>
          <t>Sum_Assets
Stocks+Bonds in this case</t>
        </r>
      </text>
    </comment>
    <comment ref="O10" authorId="0" shapeId="0" xr:uid="{9272552D-49A8-472C-9B87-294BF419222A}">
      <text>
        <r>
          <rPr>
            <b/>
            <sz val="9"/>
            <color indexed="81"/>
            <rFont val="Tahoma"/>
            <family val="2"/>
          </rPr>
          <t>change to fit restrictions!</t>
        </r>
      </text>
    </comment>
    <comment ref="P10" authorId="0" shapeId="0" xr:uid="{3B94C6F5-34A3-4DA6-B74D-E76A25E40F17}">
      <text>
        <r>
          <rPr>
            <b/>
            <sz val="9"/>
            <color indexed="81"/>
            <rFont val="Tahoma"/>
            <family val="2"/>
          </rPr>
          <t>stocks/Vf</t>
        </r>
      </text>
    </comment>
    <comment ref="P11" authorId="0" shapeId="0" xr:uid="{61CBF443-80A9-40EF-BEEF-4E9E6094C635}">
      <text>
        <r>
          <rPr>
            <b/>
            <sz val="9"/>
            <color indexed="81"/>
            <rFont val="Tahoma"/>
            <family val="2"/>
          </rPr>
          <t>Bonds/Vf</t>
        </r>
      </text>
    </comment>
    <comment ref="B15" authorId="0" shapeId="0" xr:uid="{682FE664-677D-494E-A033-2DA66A345854}">
      <text>
        <r>
          <rPr>
            <b/>
            <sz val="9"/>
            <color indexed="81"/>
            <rFont val="Tahoma"/>
            <family val="2"/>
          </rPr>
          <t>1yrLaterStocks - BondInvestment$</t>
        </r>
      </text>
    </comment>
    <comment ref="C15" authorId="0" shapeId="0" xr:uid="{9F4407E5-FC60-4818-8F34-CA721727D90A}">
      <text>
        <r>
          <rPr>
            <b/>
            <sz val="9"/>
            <color indexed="81"/>
            <rFont val="Tahoma"/>
            <family val="2"/>
          </rPr>
          <t>reBalanceStocks/Vf</t>
        </r>
      </text>
    </comment>
    <comment ref="E15" authorId="0" shapeId="0" xr:uid="{EBD14635-421C-47D6-8058-3CE626CD4DFC}">
      <text>
        <r>
          <rPr>
            <b/>
            <sz val="9"/>
            <color indexed="81"/>
            <rFont val="Tahoma"/>
            <family val="2"/>
          </rPr>
          <t>1yrLaterStocks - reBalanceStocks</t>
        </r>
      </text>
    </comment>
    <comment ref="B16" authorId="0" shapeId="0" xr:uid="{C66746C1-24D3-45E5-801D-C4F4131B3109}">
      <text>
        <r>
          <rPr>
            <b/>
            <sz val="9"/>
            <color indexed="81"/>
            <rFont val="Tahoma"/>
            <family val="2"/>
          </rPr>
          <t>Solver</t>
        </r>
      </text>
    </comment>
    <comment ref="C16" authorId="0" shapeId="0" xr:uid="{A8FEAF2C-23ED-4470-92AF-BD9B64808D5E}">
      <text>
        <r>
          <rPr>
            <b/>
            <sz val="9"/>
            <color indexed="81"/>
            <rFont val="Tahoma"/>
            <family val="2"/>
          </rPr>
          <t>reBalanceBonds/Vf</t>
        </r>
      </text>
    </comment>
    <comment ref="E16" authorId="0" shapeId="0" xr:uid="{147D5901-100D-4DB6-B0EA-20845526E302}">
      <text>
        <r>
          <rPr>
            <b/>
            <sz val="9"/>
            <color indexed="81"/>
            <rFont val="Tahoma"/>
            <family val="2"/>
          </rPr>
          <t>rebalanceBonds - 1YrLaterBonds</t>
        </r>
      </text>
    </comment>
    <comment ref="B19" authorId="0" shapeId="0" xr:uid="{0A30F413-320B-4969-9156-1E3573493EE3}">
      <text>
        <r>
          <rPr>
            <b/>
            <sz val="9"/>
            <color indexed="81"/>
            <rFont val="Tahoma"/>
            <family val="2"/>
          </rPr>
          <t>(Vf-Vi)/Vi</t>
        </r>
      </text>
    </comment>
    <comment ref="S24" authorId="0" shapeId="0" xr:uid="{7B501671-1154-4424-819C-4E8801A46A3A}">
      <text>
        <r>
          <rPr>
            <b/>
            <sz val="9"/>
            <color indexed="81"/>
            <rFont val="Tahoma"/>
            <family val="2"/>
          </rPr>
          <t>see that the formula here is based on Vf because Vf is based on B24</t>
        </r>
      </text>
    </comment>
  </commentList>
</comments>
</file>

<file path=xl/sharedStrings.xml><?xml version="1.0" encoding="utf-8"?>
<sst xmlns="http://schemas.openxmlformats.org/spreadsheetml/2006/main" count="214" uniqueCount="152">
  <si>
    <t>Lecture 3</t>
  </si>
  <si>
    <t>Expected Return for a Portfolio</t>
  </si>
  <si>
    <t>Step 1</t>
  </si>
  <si>
    <t>Step 2</t>
  </si>
  <si>
    <t>Step 3</t>
  </si>
  <si>
    <t>Step 4</t>
  </si>
  <si>
    <t>Step 5</t>
  </si>
  <si>
    <t>THUS</t>
  </si>
  <si>
    <t>Finally:</t>
  </si>
  <si>
    <t>shares</t>
  </si>
  <si>
    <t>Enter here</t>
  </si>
  <si>
    <r>
      <t>V</t>
    </r>
    <r>
      <rPr>
        <sz val="8"/>
        <color theme="1"/>
        <rFont val="Calibri"/>
        <family val="2"/>
        <scheme val="minor"/>
      </rPr>
      <t>0,1</t>
    </r>
  </si>
  <si>
    <r>
      <t>P</t>
    </r>
    <r>
      <rPr>
        <sz val="8"/>
        <color theme="1"/>
        <rFont val="Calibri"/>
        <family val="2"/>
        <scheme val="minor"/>
      </rPr>
      <t>0,1</t>
    </r>
  </si>
  <si>
    <r>
      <t>n</t>
    </r>
    <r>
      <rPr>
        <sz val="8"/>
        <color theme="1"/>
        <rFont val="Calibri"/>
        <family val="2"/>
        <scheme val="minor"/>
      </rPr>
      <t>1</t>
    </r>
  </si>
  <si>
    <r>
      <t>V</t>
    </r>
    <r>
      <rPr>
        <sz val="8"/>
        <color theme="1"/>
        <rFont val="Calibri"/>
        <family val="2"/>
        <scheme val="minor"/>
      </rPr>
      <t>0,2</t>
    </r>
  </si>
  <si>
    <r>
      <t>P</t>
    </r>
    <r>
      <rPr>
        <sz val="8"/>
        <color theme="1"/>
        <rFont val="Calibri"/>
        <family val="2"/>
        <scheme val="minor"/>
      </rPr>
      <t>0,2</t>
    </r>
  </si>
  <si>
    <r>
      <t>n</t>
    </r>
    <r>
      <rPr>
        <sz val="8"/>
        <color theme="1"/>
        <rFont val="Calibri"/>
        <family val="2"/>
        <scheme val="minor"/>
      </rPr>
      <t>2</t>
    </r>
  </si>
  <si>
    <t>For Two Asset Calculation</t>
  </si>
  <si>
    <t>At t=T:</t>
  </si>
  <si>
    <t>Autre Securities</t>
  </si>
  <si>
    <r>
      <t>V</t>
    </r>
    <r>
      <rPr>
        <sz val="8"/>
        <color theme="1"/>
        <rFont val="Calibri"/>
        <family val="2"/>
        <scheme val="minor"/>
      </rPr>
      <t>0,3</t>
    </r>
  </si>
  <si>
    <r>
      <t>P</t>
    </r>
    <r>
      <rPr>
        <sz val="8"/>
        <color theme="1"/>
        <rFont val="Calibri"/>
        <family val="2"/>
        <scheme val="minor"/>
      </rPr>
      <t>0,3</t>
    </r>
  </si>
  <si>
    <t>n3</t>
  </si>
  <si>
    <r>
      <t>V</t>
    </r>
    <r>
      <rPr>
        <sz val="8"/>
        <color theme="1"/>
        <rFont val="Calibri"/>
        <family val="2"/>
        <scheme val="minor"/>
      </rPr>
      <t>0,4</t>
    </r>
  </si>
  <si>
    <r>
      <t>P</t>
    </r>
    <r>
      <rPr>
        <sz val="8"/>
        <color theme="1"/>
        <rFont val="Calibri"/>
        <family val="2"/>
        <scheme val="minor"/>
      </rPr>
      <t>0,4</t>
    </r>
  </si>
  <si>
    <t>n4</t>
  </si>
  <si>
    <t>Returns</t>
  </si>
  <si>
    <r>
      <t>V</t>
    </r>
    <r>
      <rPr>
        <sz val="8"/>
        <color theme="1"/>
        <rFont val="Calibri"/>
        <family val="2"/>
        <scheme val="minor"/>
      </rPr>
      <t>T</t>
    </r>
  </si>
  <si>
    <r>
      <t>V</t>
    </r>
    <r>
      <rPr>
        <sz val="9"/>
        <color theme="1"/>
        <rFont val="Calibri"/>
        <family val="2"/>
        <scheme val="minor"/>
      </rPr>
      <t>0</t>
    </r>
  </si>
  <si>
    <t>Sec1</t>
  </si>
  <si>
    <t>Sec2</t>
  </si>
  <si>
    <t>Sec3</t>
  </si>
  <si>
    <t>Sec4</t>
  </si>
  <si>
    <t>rp</t>
  </si>
  <si>
    <r>
      <t>r</t>
    </r>
    <r>
      <rPr>
        <sz val="8"/>
        <color theme="1"/>
        <rFont val="Calibri"/>
        <family val="2"/>
        <scheme val="minor"/>
      </rPr>
      <t>p</t>
    </r>
  </si>
  <si>
    <t>Weights</t>
  </si>
  <si>
    <t>Ind. Returns</t>
  </si>
  <si>
    <t>Random Return Main Calculations</t>
  </si>
  <si>
    <t>Taking only Stocks 1 and 2</t>
  </si>
  <si>
    <t>Weight1</t>
  </si>
  <si>
    <t>Weight2</t>
  </si>
  <si>
    <t>Std1^2</t>
  </si>
  <si>
    <t>Std2^2</t>
  </si>
  <si>
    <t>Cov1,2</t>
  </si>
  <si>
    <t>σp 2 = [.25*2.02]+[.25*2.36]+2*.5*.5*1.26=1.725</t>
  </si>
  <si>
    <t>Weight1^2</t>
  </si>
  <si>
    <t>Weight2^2</t>
  </si>
  <si>
    <t>Variance sans Correlation Coeff</t>
  </si>
  <si>
    <t>Variance avec Correlation Coeff</t>
  </si>
  <si>
    <t>Coeff</t>
  </si>
  <si>
    <t>σ1</t>
  </si>
  <si>
    <t>σ2</t>
  </si>
  <si>
    <t>Portfolio with perfect postive correlation (PPC) and perfect negative correlation (PNC)</t>
  </si>
  <si>
    <t>excel functions</t>
  </si>
  <si>
    <t>Assets Returns</t>
  </si>
  <si>
    <t>50%X + 50%Y</t>
  </si>
  <si>
    <t>50%X + 50%Z</t>
  </si>
  <si>
    <t>formulas</t>
  </si>
  <si>
    <t>Year</t>
  </si>
  <si>
    <t>X</t>
  </si>
  <si>
    <t>Y</t>
  </si>
  <si>
    <t>Z</t>
  </si>
  <si>
    <t>XY</t>
  </si>
  <si>
    <t>XZ</t>
  </si>
  <si>
    <t>Compare</t>
  </si>
  <si>
    <t>ER</t>
  </si>
  <si>
    <t>variance</t>
  </si>
  <si>
    <t>sd</t>
  </si>
  <si>
    <t>Corr (X,Y)</t>
  </si>
  <si>
    <t>Corr(X,Z)</t>
  </si>
  <si>
    <t xml:space="preserve">By combing a portfolio with weights 50-50 mix and because the returns are PNC we see that </t>
  </si>
  <si>
    <t>a combination of these assets X and Y can result in a same expected return,12%, with minimized risk , 0% standard deviation</t>
  </si>
  <si>
    <t>By combining a portfolio with weights 50-50 mix and  because the returns are PPC we see that</t>
  </si>
  <si>
    <t>a combination of these assets X and Z can result in  same expected return. 12%, with same risk , 3.16% sd.</t>
  </si>
  <si>
    <t>Which portfolio would you prefer as a rational investor ?</t>
  </si>
  <si>
    <t>A</t>
  </si>
  <si>
    <t>Corr(A,B)</t>
  </si>
  <si>
    <t>B</t>
  </si>
  <si>
    <t>var</t>
  </si>
  <si>
    <t>ret</t>
  </si>
  <si>
    <r>
      <t>X</t>
    </r>
    <r>
      <rPr>
        <sz val="8"/>
        <color theme="1"/>
        <rFont val="Calibri"/>
        <family val="2"/>
        <scheme val="minor"/>
      </rPr>
      <t>A</t>
    </r>
  </si>
  <si>
    <r>
      <t>X</t>
    </r>
    <r>
      <rPr>
        <sz val="8"/>
        <color theme="1"/>
        <rFont val="Calibri"/>
        <family val="2"/>
        <scheme val="minor"/>
      </rPr>
      <t>B</t>
    </r>
  </si>
  <si>
    <t>σ^2_p</t>
  </si>
  <si>
    <t>Stocks:</t>
  </si>
  <si>
    <t>2 Asset Minimum Variance Portfolio</t>
  </si>
  <si>
    <t>Stock</t>
  </si>
  <si>
    <t>C</t>
  </si>
  <si>
    <t>σi</t>
  </si>
  <si>
    <t>σi,j</t>
  </si>
  <si>
    <t>μi</t>
  </si>
  <si>
    <t>Cov(A,B)</t>
  </si>
  <si>
    <t>Cov(A,C)</t>
  </si>
  <si>
    <t>Cov(B,C)</t>
  </si>
  <si>
    <r>
      <t>μ</t>
    </r>
    <r>
      <rPr>
        <sz val="9"/>
        <color theme="1"/>
        <rFont val="Calibri"/>
        <family val="2"/>
        <scheme val="minor"/>
      </rPr>
      <t>p</t>
    </r>
  </si>
  <si>
    <t>w</t>
  </si>
  <si>
    <t>Matrix Algebra</t>
  </si>
  <si>
    <t>Subtraction:     A-B</t>
  </si>
  <si>
    <t>Addition:        A+B</t>
  </si>
  <si>
    <t>Transpose:</t>
  </si>
  <si>
    <t>BASICS</t>
  </si>
  <si>
    <t>Average Annual Total Returns</t>
  </si>
  <si>
    <t>ARO</t>
  </si>
  <si>
    <t>ARW</t>
  </si>
  <si>
    <t>ASI</t>
  </si>
  <si>
    <t>GLW</t>
  </si>
  <si>
    <t>GTIV</t>
  </si>
  <si>
    <t>KLIC</t>
  </si>
  <si>
    <t>MKSI</t>
  </si>
  <si>
    <t>OME</t>
  </si>
  <si>
    <t>PL</t>
  </si>
  <si>
    <t>SNDK</t>
  </si>
  <si>
    <t>Portfolio*</t>
  </si>
  <si>
    <t>Avg Ann'l Ret</t>
  </si>
  <si>
    <t>Std Dev</t>
  </si>
  <si>
    <t>How to Get Q Matrix</t>
  </si>
  <si>
    <t>Cov = sum (x-avgx)(y-avgy) /n</t>
  </si>
  <si>
    <t>MMULT(TRANSPOSE(Returns_Matrix-Avg Ann'l),(Returns_Matrix-Avg Ann'l))/Number of Years</t>
  </si>
  <si>
    <t>Q MATRIX</t>
  </si>
  <si>
    <t>Strategic Asset Allocation</t>
  </si>
  <si>
    <t xml:space="preserve">Initial </t>
  </si>
  <si>
    <t>Goal:</t>
  </si>
  <si>
    <t>80% stocks 20% bonds</t>
  </si>
  <si>
    <t>Stocks</t>
  </si>
  <si>
    <t>Bonds</t>
  </si>
  <si>
    <t>Vi</t>
  </si>
  <si>
    <t>1 year later 20% return on stocks and 2% return on bonds</t>
  </si>
  <si>
    <t>Vf</t>
  </si>
  <si>
    <t>Rebalance</t>
  </si>
  <si>
    <t>sell</t>
  </si>
  <si>
    <t>of stocks</t>
  </si>
  <si>
    <t>invest</t>
  </si>
  <si>
    <t>in bonds</t>
  </si>
  <si>
    <t>Solver Instructions:</t>
  </si>
  <si>
    <t>1. Set Objective cell to weight_bonds</t>
  </si>
  <si>
    <t>2. Set Changing Cell to Rebalance_Bonds</t>
  </si>
  <si>
    <t>3. Solve</t>
  </si>
  <si>
    <t>4. Check that the Vfs' match</t>
  </si>
  <si>
    <t>Tactical Asset Allocation</t>
  </si>
  <si>
    <t>Pre 2008</t>
  </si>
  <si>
    <t>[Same as SAA]</t>
  </si>
  <si>
    <t>2008  -61% return on stocks and 2% return on bonds</t>
  </si>
  <si>
    <t>portfolio now: 60% in stocks and 40% in bonds</t>
  </si>
  <si>
    <t>Re-allocate</t>
  </si>
  <si>
    <t>in stocks</t>
  </si>
  <si>
    <t>Doing this in expectation</t>
  </si>
  <si>
    <t>https://www.thebalance.com/what-is-tactical-asset-allocation-2466851</t>
  </si>
  <si>
    <t>of bonds</t>
  </si>
  <si>
    <t xml:space="preserve">that stocks will make a </t>
  </si>
  <si>
    <t xml:space="preserve">come back </t>
  </si>
  <si>
    <t>How much return is needed in equities to have a 2009 Vf of = 3000, holding bonds return constant at 2%?</t>
  </si>
  <si>
    <t>equity return =</t>
  </si>
  <si>
    <t>How much return is needed in equities to have a 2009 Vf of = 4000, holding bonds  return constant 2%?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</si>
</sst>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6" formatCode="_(&quot;$&quot;* #,##0.00000_);_(&quot;$&quot;* \(#,##0.00000\);_(&quot;$&quot;* &quot;-&quot;??_);_(@_)"/>
    <numFmt numFmtId="171" formatCode="0.0%"/>
    <numFmt numFmtId="172" formatCode="#,##0.0%;[Red]\(#,##0.0%\)"/>
    <numFmt numFmtId="173" formatCode="0.0000"/>
    <numFmt numFmtId="17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3" borderId="1" xfId="0" applyFill="1" applyBorder="1"/>
    <xf numFmtId="0" fontId="2" fillId="0" borderId="2" xfId="0" applyFont="1" applyBorder="1"/>
    <xf numFmtId="0" fontId="2" fillId="0" borderId="3" xfId="0" applyFont="1" applyBorder="1"/>
    <xf numFmtId="166" fontId="0" fillId="3" borderId="2" xfId="0" applyNumberFormat="1" applyFill="1" applyBorder="1"/>
    <xf numFmtId="0" fontId="0" fillId="3" borderId="2" xfId="0" applyFill="1" applyBorder="1"/>
    <xf numFmtId="44" fontId="0" fillId="3" borderId="3" xfId="0" applyNumberFormat="1" applyFill="1" applyBorder="1"/>
    <xf numFmtId="0" fontId="0" fillId="3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1" fillId="0" borderId="0" xfId="0" applyFont="1" applyBorder="1"/>
    <xf numFmtId="0" fontId="0" fillId="0" borderId="0" xfId="0" applyBorder="1"/>
    <xf numFmtId="0" fontId="0" fillId="0" borderId="8" xfId="0" applyBorder="1"/>
    <xf numFmtId="0" fontId="0" fillId="4" borderId="0" xfId="0" applyFill="1" applyBorder="1"/>
    <xf numFmtId="0" fontId="0" fillId="3" borderId="0" xfId="0" applyFill="1" applyBorder="1"/>
    <xf numFmtId="0" fontId="2" fillId="4" borderId="0" xfId="0" applyFont="1" applyFill="1" applyBorder="1"/>
    <xf numFmtId="0" fontId="0" fillId="5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0" fillId="0" borderId="0" xfId="0" applyFont="1" applyBorder="1"/>
    <xf numFmtId="0" fontId="2" fillId="0" borderId="0" xfId="0" applyFont="1" applyBorder="1"/>
    <xf numFmtId="0" fontId="8" fillId="0" borderId="0" xfId="0" applyFont="1" applyBorder="1"/>
    <xf numFmtId="0" fontId="0" fillId="2" borderId="0" xfId="0" applyFill="1" applyBorder="1"/>
    <xf numFmtId="44" fontId="0" fillId="3" borderId="0" xfId="1" applyFont="1" applyFill="1" applyBorder="1"/>
    <xf numFmtId="44" fontId="0" fillId="0" borderId="0" xfId="0" applyNumberFormat="1" applyBorder="1"/>
    <xf numFmtId="44" fontId="0" fillId="3" borderId="0" xfId="0" applyNumberFormat="1" applyFill="1" applyBorder="1"/>
    <xf numFmtId="0" fontId="0" fillId="4" borderId="0" xfId="0" applyFont="1" applyFill="1" applyBorder="1"/>
    <xf numFmtId="0" fontId="10" fillId="0" borderId="5" xfId="0" applyFont="1" applyBorder="1"/>
    <xf numFmtId="0" fontId="0" fillId="3" borderId="8" xfId="0" applyFill="1" applyBorder="1"/>
    <xf numFmtId="0" fontId="0" fillId="0" borderId="0" xfId="0" applyBorder="1" applyAlignment="1">
      <alignment horizontal="center"/>
    </xf>
    <xf numFmtId="0" fontId="0" fillId="6" borderId="0" xfId="0" applyFill="1" applyBorder="1"/>
    <xf numFmtId="0" fontId="0" fillId="7" borderId="0" xfId="0" applyFill="1" applyBorder="1"/>
    <xf numFmtId="0" fontId="0" fillId="8" borderId="0" xfId="0" applyFill="1" applyBorder="1"/>
    <xf numFmtId="9" fontId="0" fillId="0" borderId="0" xfId="2" applyFont="1" applyBorder="1"/>
    <xf numFmtId="9" fontId="0" fillId="3" borderId="0" xfId="0" applyNumberFormat="1" applyFill="1" applyBorder="1"/>
    <xf numFmtId="9" fontId="0" fillId="6" borderId="0" xfId="2" applyFont="1" applyFill="1" applyBorder="1"/>
    <xf numFmtId="10" fontId="0" fillId="3" borderId="0" xfId="2" applyNumberFormat="1" applyFont="1" applyFill="1" applyBorder="1"/>
    <xf numFmtId="171" fontId="0" fillId="6" borderId="0" xfId="2" applyNumberFormat="1" applyFont="1" applyFill="1" applyBorder="1"/>
    <xf numFmtId="10" fontId="0" fillId="6" borderId="0" xfId="2" applyNumberFormat="1" applyFont="1" applyFill="1" applyBorder="1"/>
    <xf numFmtId="0" fontId="3" fillId="0" borderId="0" xfId="0" applyFont="1" applyBorder="1"/>
    <xf numFmtId="0" fontId="11" fillId="0" borderId="4" xfId="0" applyFont="1" applyBorder="1"/>
    <xf numFmtId="0" fontId="0" fillId="9" borderId="7" xfId="0" applyFill="1" applyBorder="1"/>
    <xf numFmtId="0" fontId="2" fillId="9" borderId="7" xfId="0" applyFont="1" applyFill="1" applyBorder="1"/>
    <xf numFmtId="0" fontId="0" fillId="9" borderId="0" xfId="0" applyFill="1" applyBorder="1"/>
    <xf numFmtId="0" fontId="0" fillId="10" borderId="0" xfId="0" applyFill="1" applyBorder="1"/>
    <xf numFmtId="0" fontId="0" fillId="4" borderId="0" xfId="0" applyFill="1" applyBorder="1" applyAlignment="1">
      <alignment vertical="top"/>
    </xf>
    <xf numFmtId="0" fontId="0" fillId="4" borderId="0" xfId="0" applyFill="1" applyBorder="1" applyAlignment="1">
      <alignment horizontal="left" vertical="top"/>
    </xf>
    <xf numFmtId="0" fontId="0" fillId="11" borderId="0" xfId="0" applyFill="1"/>
    <xf numFmtId="0" fontId="0" fillId="11" borderId="12" xfId="0" applyFill="1" applyBorder="1"/>
    <xf numFmtId="0" fontId="0" fillId="12" borderId="12" xfId="0" applyFill="1" applyBorder="1"/>
    <xf numFmtId="0" fontId="0" fillId="13" borderId="12" xfId="0" applyFill="1" applyBorder="1"/>
    <xf numFmtId="0" fontId="0" fillId="14" borderId="12" xfId="0" applyFill="1" applyBorder="1"/>
    <xf numFmtId="0" fontId="0" fillId="11" borderId="13" xfId="0" applyFill="1" applyBorder="1"/>
    <xf numFmtId="0" fontId="0" fillId="13" borderId="13" xfId="0" applyFill="1" applyBorder="1"/>
    <xf numFmtId="0" fontId="12" fillId="9" borderId="14" xfId="0" applyFont="1" applyFill="1" applyBorder="1" applyAlignment="1">
      <alignment horizontal="center"/>
    </xf>
    <xf numFmtId="172" fontId="0" fillId="9" borderId="0" xfId="0" applyNumberFormat="1" applyFill="1" applyBorder="1"/>
    <xf numFmtId="0" fontId="0" fillId="9" borderId="14" xfId="0" applyFill="1" applyBorder="1"/>
    <xf numFmtId="172" fontId="0" fillId="9" borderId="14" xfId="0" applyNumberFormat="1" applyFill="1" applyBorder="1"/>
    <xf numFmtId="0" fontId="12" fillId="9" borderId="16" xfId="0" applyFont="1" applyFill="1" applyBorder="1" applyAlignment="1">
      <alignment horizontal="center"/>
    </xf>
    <xf numFmtId="0" fontId="12" fillId="9" borderId="17" xfId="0" applyFont="1" applyFill="1" applyBorder="1" applyAlignment="1">
      <alignment horizontal="center"/>
    </xf>
    <xf numFmtId="0" fontId="12" fillId="9" borderId="18" xfId="0" applyFont="1" applyFill="1" applyBorder="1" applyAlignment="1">
      <alignment horizontal="center"/>
    </xf>
    <xf numFmtId="172" fontId="0" fillId="9" borderId="2" xfId="0" applyNumberFormat="1" applyFill="1" applyBorder="1"/>
    <xf numFmtId="172" fontId="0" fillId="9" borderId="18" xfId="0" applyNumberFormat="1" applyFont="1" applyFill="1" applyBorder="1"/>
    <xf numFmtId="0" fontId="0" fillId="13" borderId="0" xfId="0" applyFill="1" applyBorder="1"/>
    <xf numFmtId="172" fontId="0" fillId="13" borderId="0" xfId="0" applyNumberFormat="1" applyFill="1" applyBorder="1"/>
    <xf numFmtId="172" fontId="0" fillId="13" borderId="2" xfId="0" applyNumberFormat="1" applyFill="1" applyBorder="1"/>
    <xf numFmtId="0" fontId="0" fillId="11" borderId="14" xfId="0" applyFill="1" applyBorder="1"/>
    <xf numFmtId="171" fontId="0" fillId="11" borderId="14" xfId="0" applyNumberFormat="1" applyFill="1" applyBorder="1"/>
    <xf numFmtId="172" fontId="0" fillId="11" borderId="18" xfId="0" applyNumberFormat="1" applyFill="1" applyBorder="1"/>
    <xf numFmtId="0" fontId="13" fillId="0" borderId="0" xfId="0" applyFont="1"/>
    <xf numFmtId="0" fontId="13" fillId="0" borderId="15" xfId="0" applyFont="1" applyBorder="1" applyAlignment="1">
      <alignment horizontal="left" indent="1"/>
    </xf>
    <xf numFmtId="44" fontId="13" fillId="0" borderId="1" xfId="1" applyFont="1" applyBorder="1" applyAlignment="1">
      <alignment horizontal="center"/>
    </xf>
    <xf numFmtId="0" fontId="13" fillId="0" borderId="20" xfId="0" applyFont="1" applyBorder="1"/>
    <xf numFmtId="0" fontId="13" fillId="0" borderId="19" xfId="0" applyFont="1" applyBorder="1" applyAlignment="1">
      <alignment horizontal="left" indent="1"/>
    </xf>
    <xf numFmtId="44" fontId="13" fillId="0" borderId="14" xfId="1" applyFont="1" applyBorder="1" applyAlignment="1">
      <alignment horizontal="center"/>
    </xf>
    <xf numFmtId="0" fontId="13" fillId="0" borderId="18" xfId="0" applyFont="1" applyBorder="1"/>
    <xf numFmtId="0" fontId="5" fillId="0" borderId="4" xfId="0" applyFont="1" applyBorder="1"/>
    <xf numFmtId="0" fontId="2" fillId="0" borderId="7" xfId="0" applyFont="1" applyBorder="1"/>
    <xf numFmtId="0" fontId="13" fillId="0" borderId="0" xfId="0" applyFont="1" applyBorder="1" applyAlignment="1">
      <alignment horizontal="center"/>
    </xf>
    <xf numFmtId="0" fontId="0" fillId="11" borderId="7" xfId="0" applyFill="1" applyBorder="1"/>
    <xf numFmtId="0" fontId="0" fillId="11" borderId="0" xfId="0" applyFill="1" applyBorder="1"/>
    <xf numFmtId="0" fontId="0" fillId="15" borderId="7" xfId="0" applyFill="1" applyBorder="1"/>
    <xf numFmtId="0" fontId="0" fillId="15" borderId="0" xfId="0" applyFill="1" applyBorder="1"/>
    <xf numFmtId="0" fontId="4" fillId="0" borderId="7" xfId="0" applyFont="1" applyBorder="1"/>
    <xf numFmtId="0" fontId="0" fillId="3" borderId="7" xfId="0" applyFill="1" applyBorder="1"/>
    <xf numFmtId="0" fontId="4" fillId="12" borderId="7" xfId="0" applyFont="1" applyFill="1" applyBorder="1"/>
    <xf numFmtId="0" fontId="2" fillId="12" borderId="0" xfId="0" applyFont="1" applyFill="1" applyBorder="1"/>
    <xf numFmtId="0" fontId="0" fillId="12" borderId="7" xfId="0" applyFill="1" applyBorder="1"/>
    <xf numFmtId="2" fontId="0" fillId="12" borderId="0" xfId="0" applyNumberFormat="1" applyFill="1" applyBorder="1"/>
    <xf numFmtId="173" fontId="0" fillId="12" borderId="0" xfId="0" applyNumberFormat="1" applyFill="1" applyBorder="1"/>
    <xf numFmtId="174" fontId="0" fillId="15" borderId="0" xfId="0" applyNumberFormat="1" applyFill="1" applyBorder="1"/>
    <xf numFmtId="0" fontId="13" fillId="15" borderId="7" xfId="0" applyFont="1" applyFill="1" applyBorder="1"/>
    <xf numFmtId="10" fontId="13" fillId="15" borderId="0" xfId="2" applyNumberFormat="1" applyFont="1" applyFill="1" applyBorder="1"/>
    <xf numFmtId="0" fontId="2" fillId="0" borderId="16" xfId="0" applyFont="1" applyBorder="1"/>
    <xf numFmtId="0" fontId="13" fillId="11" borderId="5" xfId="0" applyFont="1" applyFill="1" applyBorder="1"/>
    <xf numFmtId="0" fontId="15" fillId="0" borderId="0" xfId="0" applyFont="1" applyBorder="1"/>
    <xf numFmtId="0" fontId="4" fillId="0" borderId="21" xfId="0" applyFont="1" applyBorder="1"/>
    <xf numFmtId="0" fontId="2" fillId="0" borderId="8" xfId="0" applyFont="1" applyBorder="1"/>
    <xf numFmtId="174" fontId="0" fillId="3" borderId="0" xfId="0" applyNumberFormat="1" applyFill="1" applyBorder="1"/>
    <xf numFmtId="1" fontId="0" fillId="12" borderId="0" xfId="0" applyNumberFormat="1" applyFill="1" applyBorder="1"/>
    <xf numFmtId="0" fontId="13" fillId="0" borderId="0" xfId="0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171450</xdr:rowOff>
    </xdr:from>
    <xdr:to>
      <xdr:col>2</xdr:col>
      <xdr:colOff>133350</xdr:colOff>
      <xdr:row>6</xdr:row>
      <xdr:rowOff>117535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9826D1-DCFE-4EE8-8042-3BD10BBA3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66750" y="914400"/>
          <a:ext cx="685800" cy="51758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2</xdr:col>
      <xdr:colOff>371101</xdr:colOff>
      <xdr:row>9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47B526-8C6B-4662-9E34-7D1CA338A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1504950"/>
          <a:ext cx="980701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2</xdr:col>
      <xdr:colOff>393140</xdr:colOff>
      <xdr:row>13</xdr:row>
      <xdr:rowOff>180975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55E9A9-250B-49FB-AACB-52E9074B84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2266950"/>
          <a:ext cx="1002740" cy="5619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2</xdr:col>
      <xdr:colOff>397852</xdr:colOff>
      <xdr:row>17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CD4FBB-026E-448D-88CE-A3FFCC450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3028950"/>
          <a:ext cx="1007452" cy="523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4</xdr:col>
      <xdr:colOff>235884</xdr:colOff>
      <xdr:row>21</xdr:row>
      <xdr:rowOff>66675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E07494-D8D5-4CE5-B6BD-3A69ED3D9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3600450"/>
          <a:ext cx="2064684" cy="638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304800</xdr:colOff>
      <xdr:row>17</xdr:row>
      <xdr:rowOff>180975</xdr:rowOff>
    </xdr:from>
    <xdr:to>
      <xdr:col>7</xdr:col>
      <xdr:colOff>127747</xdr:colOff>
      <xdr:row>21</xdr:row>
      <xdr:rowOff>57150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9700BC2-D523-4B32-B540-6246ACA73F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743200" y="3590925"/>
          <a:ext cx="1651747" cy="6381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3</xdr:col>
      <xdr:colOff>175079</xdr:colOff>
      <xdr:row>24</xdr:row>
      <xdr:rowOff>171450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25AC974-7F00-48A7-B656-92840E218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4362450"/>
          <a:ext cx="1394279" cy="55245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200025</xdr:colOff>
      <xdr:row>25</xdr:row>
      <xdr:rowOff>142875</xdr:rowOff>
    </xdr:from>
    <xdr:to>
      <xdr:col>2</xdr:col>
      <xdr:colOff>276225</xdr:colOff>
      <xdr:row>27</xdr:row>
      <xdr:rowOff>247650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37D8F03-F84A-4F69-B4AD-2E80F4466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09625" y="5076825"/>
          <a:ext cx="685800" cy="495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29</xdr:row>
      <xdr:rowOff>28575</xdr:rowOff>
    </xdr:from>
    <xdr:to>
      <xdr:col>2</xdr:col>
      <xdr:colOff>304800</xdr:colOff>
      <xdr:row>32</xdr:row>
      <xdr:rowOff>54952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D49BDC5-0B10-475F-9CC7-9ACADB305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5724525"/>
          <a:ext cx="914400" cy="597877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2</xdr:col>
      <xdr:colOff>457200</xdr:colOff>
      <xdr:row>37</xdr:row>
      <xdr:rowOff>68580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AE50D09-EE75-41C4-8F34-B90DB823D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6648450"/>
          <a:ext cx="1066800" cy="640080"/>
        </a:xfrm>
        <a:prstGeom prst="rect">
          <a:avLst/>
        </a:prstGeom>
        <a:noFill/>
      </xdr:spPr>
    </xdr:pic>
    <xdr:clientData/>
  </xdr:twoCellAnchor>
  <xdr:twoCellAnchor>
    <xdr:from>
      <xdr:col>7</xdr:col>
      <xdr:colOff>228600</xdr:colOff>
      <xdr:row>19</xdr:row>
      <xdr:rowOff>133350</xdr:rowOff>
    </xdr:from>
    <xdr:to>
      <xdr:col>8</xdr:col>
      <xdr:colOff>600075</xdr:colOff>
      <xdr:row>21</xdr:row>
      <xdr:rowOff>104775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5EF6B360-0EC1-4BE8-AA3F-7E5A0F615AF6}"/>
            </a:ext>
          </a:extLst>
        </xdr:cNvPr>
        <xdr:cNvCxnSpPr/>
      </xdr:nvCxnSpPr>
      <xdr:spPr>
        <a:xfrm flipH="1" flipV="1">
          <a:off x="4495800" y="3971925"/>
          <a:ext cx="98107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22</xdr:row>
      <xdr:rowOff>142876</xdr:rowOff>
    </xdr:from>
    <xdr:to>
      <xdr:col>9</xdr:col>
      <xdr:colOff>1</xdr:colOff>
      <xdr:row>30</xdr:row>
      <xdr:rowOff>38100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A73CB58-C716-4E84-8547-D91D84FE03CD}"/>
            </a:ext>
          </a:extLst>
        </xdr:cNvPr>
        <xdr:cNvCxnSpPr/>
      </xdr:nvCxnSpPr>
      <xdr:spPr>
        <a:xfrm flipH="1">
          <a:off x="1619250" y="4552951"/>
          <a:ext cx="3867151" cy="14192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47625</xdr:colOff>
      <xdr:row>26</xdr:row>
      <xdr:rowOff>180975</xdr:rowOff>
    </xdr:from>
    <xdr:to>
      <xdr:col>20</xdr:col>
      <xdr:colOff>448089</xdr:colOff>
      <xdr:row>28</xdr:row>
      <xdr:rowOff>19050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E3A79E4-A807-40E1-8474-6A07A0E7B8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362950" y="5381625"/>
          <a:ext cx="4762914" cy="295275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12</xdr:col>
      <xdr:colOff>445190</xdr:colOff>
      <xdr:row>44</xdr:row>
      <xdr:rowOff>104775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64DF099-B436-4C5F-AEC8-16F107A9D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8315325" y="8334375"/>
          <a:ext cx="4493315" cy="2952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76200</xdr:colOff>
      <xdr:row>61</xdr:row>
      <xdr:rowOff>0</xdr:rowOff>
    </xdr:from>
    <xdr:to>
      <xdr:col>6</xdr:col>
      <xdr:colOff>0</xdr:colOff>
      <xdr:row>63</xdr:row>
      <xdr:rowOff>103533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6FA429C-B8C8-4A67-AC37-8F6B06655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85800" y="12125325"/>
          <a:ext cx="2971800" cy="484533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76200</xdr:colOff>
      <xdr:row>64</xdr:row>
      <xdr:rowOff>157508</xdr:rowOff>
    </xdr:from>
    <xdr:to>
      <xdr:col>2</xdr:col>
      <xdr:colOff>381000</xdr:colOff>
      <xdr:row>65</xdr:row>
      <xdr:rowOff>170208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B9D22E0-7ED8-47D4-9D3F-61BC93B04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85800" y="12854333"/>
          <a:ext cx="914400" cy="2032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76200</xdr:colOff>
      <xdr:row>67</xdr:row>
      <xdr:rowOff>30449</xdr:rowOff>
    </xdr:from>
    <xdr:to>
      <xdr:col>3</xdr:col>
      <xdr:colOff>0</xdr:colOff>
      <xdr:row>68</xdr:row>
      <xdr:rowOff>74958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872877C-DC9A-4056-B7F6-B18FD6BBA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85800" y="13298774"/>
          <a:ext cx="1143000" cy="235009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69</xdr:row>
      <xdr:rowOff>55908</xdr:rowOff>
    </xdr:from>
    <xdr:to>
      <xdr:col>5</xdr:col>
      <xdr:colOff>590550</xdr:colOff>
      <xdr:row>70</xdr:row>
      <xdr:rowOff>84483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95338ABF-4C68-4137-A2A4-85AD15FC8F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609600" y="13705233"/>
          <a:ext cx="3028950" cy="21907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161925</xdr:colOff>
      <xdr:row>92</xdr:row>
      <xdr:rowOff>66675</xdr:rowOff>
    </xdr:from>
    <xdr:to>
      <xdr:col>9</xdr:col>
      <xdr:colOff>183656</xdr:colOff>
      <xdr:row>105</xdr:row>
      <xdr:rowOff>171450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CD650817-14C2-422D-A8B9-EB80CB2BB3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61925" y="18126075"/>
          <a:ext cx="5508131" cy="2581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257175</xdr:colOff>
      <xdr:row>1</xdr:row>
      <xdr:rowOff>200025</xdr:rowOff>
    </xdr:from>
    <xdr:to>
      <xdr:col>28</xdr:col>
      <xdr:colOff>599554</xdr:colOff>
      <xdr:row>6</xdr:row>
      <xdr:rowOff>161718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1059FF-089B-4A00-A251-87908DE0C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87575" y="428625"/>
          <a:ext cx="2780779" cy="110469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257175</xdr:colOff>
      <xdr:row>2</xdr:row>
      <xdr:rowOff>0</xdr:rowOff>
    </xdr:from>
    <xdr:to>
      <xdr:col>35</xdr:col>
      <xdr:colOff>180975</xdr:colOff>
      <xdr:row>30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56526-1A35-4D06-A657-EB45336F9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96275" y="457200"/>
          <a:ext cx="5410200" cy="550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8"/>
  <sheetViews>
    <sheetView topLeftCell="A76" workbookViewId="0">
      <selection activeCell="P104" sqref="P104"/>
    </sheetView>
  </sheetViews>
  <sheetFormatPr defaultRowHeight="15" x14ac:dyDescent="0.25"/>
  <cols>
    <col min="10" max="10" width="11" customWidth="1"/>
    <col min="11" max="11" width="10.5703125" bestFit="1" customWidth="1"/>
    <col min="12" max="12" width="11.7109375" bestFit="1" customWidth="1"/>
    <col min="15" max="15" width="10.5703125" bestFit="1" customWidth="1"/>
  </cols>
  <sheetData>
    <row r="1" spans="1:25" ht="29.25" thickBot="1" x14ac:dyDescent="0.5">
      <c r="A1" s="3" t="s">
        <v>0</v>
      </c>
    </row>
    <row r="2" spans="1:25" x14ac:dyDescent="0.25">
      <c r="I2" s="11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3"/>
    </row>
    <row r="3" spans="1:25" ht="18.75" x14ac:dyDescent="0.3">
      <c r="A3" t="s">
        <v>1</v>
      </c>
      <c r="I3" s="14"/>
      <c r="J3" s="25" t="s">
        <v>37</v>
      </c>
      <c r="K3" s="16"/>
      <c r="L3" s="16"/>
      <c r="M3" s="16"/>
      <c r="N3" s="16"/>
      <c r="O3" s="16"/>
      <c r="P3" s="16"/>
      <c r="Q3" s="16"/>
      <c r="R3" s="26" t="s">
        <v>19</v>
      </c>
      <c r="S3" s="16"/>
      <c r="T3" s="16"/>
      <c r="U3" s="16"/>
      <c r="V3" s="16"/>
      <c r="W3" s="16"/>
      <c r="X3" s="16"/>
      <c r="Y3" s="17"/>
    </row>
    <row r="4" spans="1:25" x14ac:dyDescent="0.25">
      <c r="I4" s="14"/>
      <c r="J4" s="16"/>
      <c r="K4" s="27" t="s">
        <v>10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7"/>
    </row>
    <row r="5" spans="1:25" x14ac:dyDescent="0.25">
      <c r="A5" t="s">
        <v>2</v>
      </c>
      <c r="I5" s="14"/>
      <c r="J5" s="28" t="s">
        <v>11</v>
      </c>
      <c r="K5" s="29">
        <v>500</v>
      </c>
      <c r="L5" s="16"/>
      <c r="M5" s="16"/>
      <c r="N5" s="28" t="s">
        <v>14</v>
      </c>
      <c r="O5" s="29">
        <v>300</v>
      </c>
      <c r="P5" s="16"/>
      <c r="Q5" s="16"/>
      <c r="R5" s="28" t="s">
        <v>20</v>
      </c>
      <c r="S5" s="29">
        <v>700</v>
      </c>
      <c r="T5" s="16"/>
      <c r="U5" s="16"/>
      <c r="V5" s="28" t="s">
        <v>23</v>
      </c>
      <c r="W5" s="29">
        <v>900</v>
      </c>
      <c r="X5" s="16"/>
      <c r="Y5" s="17"/>
    </row>
    <row r="6" spans="1:25" x14ac:dyDescent="0.25">
      <c r="I6" s="14"/>
      <c r="J6" s="28" t="s">
        <v>12</v>
      </c>
      <c r="K6" s="29">
        <v>5</v>
      </c>
      <c r="L6" s="16"/>
      <c r="M6" s="16"/>
      <c r="N6" s="28" t="s">
        <v>15</v>
      </c>
      <c r="O6" s="29">
        <v>20</v>
      </c>
      <c r="P6" s="16"/>
      <c r="Q6" s="16"/>
      <c r="R6" s="28" t="s">
        <v>21</v>
      </c>
      <c r="S6" s="29">
        <v>15</v>
      </c>
      <c r="T6" s="16"/>
      <c r="U6" s="16"/>
      <c r="V6" s="28" t="s">
        <v>24</v>
      </c>
      <c r="W6" s="29">
        <v>30</v>
      </c>
      <c r="X6" s="16"/>
      <c r="Y6" s="17"/>
    </row>
    <row r="7" spans="1:25" x14ac:dyDescent="0.25">
      <c r="I7" s="14"/>
      <c r="J7" s="28" t="s">
        <v>13</v>
      </c>
      <c r="K7" s="4">
        <f>K5/K6</f>
        <v>100</v>
      </c>
      <c r="L7" s="28" t="s">
        <v>9</v>
      </c>
      <c r="M7" s="16"/>
      <c r="N7" s="28" t="s">
        <v>16</v>
      </c>
      <c r="O7" s="4">
        <f>O5/O6</f>
        <v>15</v>
      </c>
      <c r="P7" s="28" t="s">
        <v>9</v>
      </c>
      <c r="Q7" s="16"/>
      <c r="R7" s="28" t="s">
        <v>22</v>
      </c>
      <c r="S7" s="4">
        <f>S5/S6</f>
        <v>46.666666666666664</v>
      </c>
      <c r="T7" s="28" t="s">
        <v>9</v>
      </c>
      <c r="U7" s="16"/>
      <c r="V7" s="28" t="s">
        <v>25</v>
      </c>
      <c r="W7" s="4">
        <f>W5/W6</f>
        <v>30</v>
      </c>
      <c r="X7" s="28" t="s">
        <v>9</v>
      </c>
      <c r="Y7" s="17"/>
    </row>
    <row r="8" spans="1:25" x14ac:dyDescent="0.25">
      <c r="A8" t="s">
        <v>3</v>
      </c>
      <c r="I8" s="14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</row>
    <row r="9" spans="1:25" x14ac:dyDescent="0.25">
      <c r="I9" s="14"/>
      <c r="J9" s="16" t="s">
        <v>17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7"/>
    </row>
    <row r="10" spans="1:25" x14ac:dyDescent="0.25">
      <c r="I10" s="14"/>
      <c r="J10" s="28" t="s">
        <v>28</v>
      </c>
      <c r="K10" s="30">
        <f>(K7*K6)+(O7*O6)+(S6*S7)+(W7*W6)</f>
        <v>2400</v>
      </c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7"/>
    </row>
    <row r="11" spans="1:25" x14ac:dyDescent="0.25">
      <c r="I11" s="14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7"/>
    </row>
    <row r="12" spans="1:25" x14ac:dyDescent="0.25">
      <c r="A12" t="s">
        <v>4</v>
      </c>
      <c r="I12" s="14"/>
      <c r="J12" s="16" t="s">
        <v>18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</row>
    <row r="13" spans="1:25" x14ac:dyDescent="0.25">
      <c r="I13" s="14"/>
      <c r="J13" s="16"/>
      <c r="K13" s="28" t="s">
        <v>12</v>
      </c>
      <c r="L13" s="29">
        <v>7</v>
      </c>
      <c r="M13" s="16"/>
      <c r="N13" s="28" t="s">
        <v>15</v>
      </c>
      <c r="O13" s="29">
        <v>18</v>
      </c>
      <c r="P13" s="16"/>
      <c r="Q13" s="28" t="s">
        <v>21</v>
      </c>
      <c r="R13" s="29">
        <v>12.5</v>
      </c>
      <c r="S13" s="16"/>
      <c r="T13" s="28" t="s">
        <v>24</v>
      </c>
      <c r="U13" s="29">
        <v>40</v>
      </c>
      <c r="V13" s="16"/>
      <c r="W13" s="16"/>
      <c r="X13" s="16"/>
      <c r="Y13" s="17"/>
    </row>
    <row r="14" spans="1:25" x14ac:dyDescent="0.25">
      <c r="I14" s="14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7"/>
    </row>
    <row r="15" spans="1:25" x14ac:dyDescent="0.25">
      <c r="I15" s="14"/>
      <c r="J15" s="16"/>
      <c r="K15" s="28" t="s">
        <v>27</v>
      </c>
      <c r="L15" s="31">
        <f>(L13*K7)+(O13*O7)+(R13*S7)+(U13*W7)</f>
        <v>2753.333333333333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7"/>
    </row>
    <row r="16" spans="1:25" x14ac:dyDescent="0.25">
      <c r="A16" t="s">
        <v>5</v>
      </c>
      <c r="I16" s="14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7"/>
    </row>
    <row r="17" spans="1:25" x14ac:dyDescent="0.25">
      <c r="I17" s="14"/>
      <c r="J17" s="16"/>
      <c r="K17" s="5" t="s">
        <v>26</v>
      </c>
      <c r="L17" s="6" t="s">
        <v>36</v>
      </c>
      <c r="M17" s="6" t="s">
        <v>35</v>
      </c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7"/>
    </row>
    <row r="18" spans="1:25" x14ac:dyDescent="0.25">
      <c r="I18" s="14"/>
      <c r="J18" s="18" t="s">
        <v>29</v>
      </c>
      <c r="K18" s="7">
        <f>(K5/K10)*((L13-K6)/K6)</f>
        <v>8.3333333333333343E-2</v>
      </c>
      <c r="L18" s="9">
        <f>(L13-K6)/K6</f>
        <v>0.4</v>
      </c>
      <c r="M18" s="10">
        <f>K5/K10</f>
        <v>0.20833333333333334</v>
      </c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7"/>
    </row>
    <row r="19" spans="1:25" x14ac:dyDescent="0.25">
      <c r="I19" s="14"/>
      <c r="J19" s="18" t="s">
        <v>30</v>
      </c>
      <c r="K19" s="7">
        <f>(O5/K10)*((O13-O6)/O6)</f>
        <v>-1.2500000000000001E-2</v>
      </c>
      <c r="L19" s="9">
        <f>(O13-O6)/O6</f>
        <v>-0.1</v>
      </c>
      <c r="M19" s="10">
        <f>O5/K10</f>
        <v>0.125</v>
      </c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7"/>
    </row>
    <row r="20" spans="1:25" x14ac:dyDescent="0.25">
      <c r="I20" s="14"/>
      <c r="J20" s="18" t="s">
        <v>31</v>
      </c>
      <c r="K20" s="7">
        <f>(S5/K10)*((R13-S6)/S6)</f>
        <v>-4.8611111111111112E-2</v>
      </c>
      <c r="L20" s="9">
        <f>(R13-S6)/S6</f>
        <v>-0.16666666666666666</v>
      </c>
      <c r="M20" s="10">
        <f>S5/K10</f>
        <v>0.29166666666666669</v>
      </c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7"/>
    </row>
    <row r="21" spans="1:25" x14ac:dyDescent="0.25">
      <c r="I21" s="14"/>
      <c r="J21" s="18" t="s">
        <v>32</v>
      </c>
      <c r="K21" s="7">
        <f>(W5/K10)*((U13-W6)/W6)</f>
        <v>0.125</v>
      </c>
      <c r="L21" s="9">
        <f>(U13-W6)/W6</f>
        <v>0.33333333333333331</v>
      </c>
      <c r="M21" s="10">
        <f>W5/K10</f>
        <v>0.375</v>
      </c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7"/>
    </row>
    <row r="22" spans="1:25" x14ac:dyDescent="0.25">
      <c r="I22" s="14"/>
      <c r="J22" s="18" t="s">
        <v>34</v>
      </c>
      <c r="K22" s="7">
        <f>SUM(K18:K21)</f>
        <v>0.14722222222222223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7"/>
    </row>
    <row r="23" spans="1:25" x14ac:dyDescent="0.25">
      <c r="A23" t="s">
        <v>6</v>
      </c>
      <c r="I23" s="14"/>
      <c r="J23" s="18" t="s">
        <v>34</v>
      </c>
      <c r="K23" s="8">
        <f>SUMPRODUCT(L18:M21)</f>
        <v>1.4666666666666668</v>
      </c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7"/>
    </row>
    <row r="24" spans="1:25" x14ac:dyDescent="0.25">
      <c r="I24" s="14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7"/>
    </row>
    <row r="25" spans="1:25" ht="15.75" thickBot="1" x14ac:dyDescent="0.3">
      <c r="I25" s="22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4"/>
    </row>
    <row r="26" spans="1:25" ht="15.75" thickBot="1" x14ac:dyDescent="0.3"/>
    <row r="27" spans="1:25" x14ac:dyDescent="0.25">
      <c r="I27" s="11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</row>
    <row r="28" spans="1:25" ht="21" x14ac:dyDescent="0.35">
      <c r="I28" s="14"/>
      <c r="J28" s="15" t="s">
        <v>47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7"/>
    </row>
    <row r="29" spans="1:25" x14ac:dyDescent="0.25">
      <c r="A29" t="s">
        <v>7</v>
      </c>
      <c r="I29" s="14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7"/>
    </row>
    <row r="30" spans="1:25" x14ac:dyDescent="0.25">
      <c r="I30" s="14"/>
      <c r="J30" s="16" t="s">
        <v>38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7"/>
    </row>
    <row r="31" spans="1:25" x14ac:dyDescent="0.25">
      <c r="I31" s="14"/>
      <c r="J31" s="18" t="s">
        <v>39</v>
      </c>
      <c r="K31" s="19">
        <v>0.5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7"/>
    </row>
    <row r="32" spans="1:25" x14ac:dyDescent="0.25">
      <c r="I32" s="14"/>
      <c r="J32" s="18" t="s">
        <v>40</v>
      </c>
      <c r="K32" s="19">
        <v>0.5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7"/>
    </row>
    <row r="33" spans="1:22" x14ac:dyDescent="0.25">
      <c r="I33" s="14"/>
      <c r="J33" s="18" t="s">
        <v>45</v>
      </c>
      <c r="K33" s="19">
        <f>K31^2</f>
        <v>0.25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7"/>
    </row>
    <row r="34" spans="1:22" x14ac:dyDescent="0.25">
      <c r="A34" t="s">
        <v>8</v>
      </c>
      <c r="I34" s="14"/>
      <c r="J34" s="18" t="s">
        <v>46</v>
      </c>
      <c r="K34" s="19">
        <f>K32^2</f>
        <v>0.25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7"/>
    </row>
    <row r="35" spans="1:22" x14ac:dyDescent="0.25">
      <c r="I35" s="14"/>
      <c r="J35" s="18" t="s">
        <v>41</v>
      </c>
      <c r="K35" s="19">
        <v>2.02</v>
      </c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7"/>
    </row>
    <row r="36" spans="1:22" x14ac:dyDescent="0.25">
      <c r="I36" s="14"/>
      <c r="J36" s="18" t="s">
        <v>42</v>
      </c>
      <c r="K36" s="19">
        <v>2.36</v>
      </c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7"/>
    </row>
    <row r="37" spans="1:22" x14ac:dyDescent="0.25">
      <c r="I37" s="14"/>
      <c r="J37" s="18" t="s">
        <v>43</v>
      </c>
      <c r="K37" s="19">
        <v>1.26</v>
      </c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7"/>
    </row>
    <row r="38" spans="1:22" x14ac:dyDescent="0.25">
      <c r="I38" s="14"/>
      <c r="J38" s="20" t="s">
        <v>82</v>
      </c>
      <c r="K38" s="21">
        <f>K33*K35+K34*K36+2*K31*K32*K37</f>
        <v>1.7250000000000001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7"/>
    </row>
    <row r="39" spans="1:22" x14ac:dyDescent="0.25">
      <c r="I39" s="14"/>
      <c r="J39" s="16"/>
      <c r="K39" s="16"/>
      <c r="L39" s="16"/>
      <c r="M39" s="16" t="s">
        <v>44</v>
      </c>
      <c r="N39" s="16"/>
      <c r="O39" s="16"/>
      <c r="P39" s="16"/>
      <c r="Q39" s="16"/>
      <c r="R39" s="16"/>
      <c r="S39" s="16"/>
      <c r="T39" s="16"/>
      <c r="U39" s="16"/>
      <c r="V39" s="17"/>
    </row>
    <row r="40" spans="1:22" x14ac:dyDescent="0.25">
      <c r="I40" s="14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7"/>
    </row>
    <row r="41" spans="1:22" ht="15.75" thickBot="1" x14ac:dyDescent="0.3">
      <c r="I41" s="22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4"/>
    </row>
    <row r="43" spans="1:22" ht="15.75" thickBot="1" x14ac:dyDescent="0.3"/>
    <row r="44" spans="1:22" x14ac:dyDescent="0.25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3"/>
    </row>
    <row r="45" spans="1:22" ht="21" x14ac:dyDescent="0.35">
      <c r="B45" s="14"/>
      <c r="C45" s="15" t="s">
        <v>48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7"/>
    </row>
    <row r="46" spans="1:22" x14ac:dyDescent="0.25">
      <c r="B46" s="14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7"/>
    </row>
    <row r="47" spans="1:22" x14ac:dyDescent="0.25">
      <c r="B47" s="14"/>
      <c r="C47" s="16" t="s">
        <v>38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22" x14ac:dyDescent="0.25">
      <c r="B48" s="14"/>
      <c r="C48" s="18" t="s">
        <v>39</v>
      </c>
      <c r="D48" s="19">
        <v>0.5</v>
      </c>
      <c r="E48" s="16"/>
      <c r="F48" s="16"/>
      <c r="G48" s="16"/>
      <c r="H48" s="16"/>
      <c r="I48" s="16"/>
      <c r="J48" s="16"/>
      <c r="K48" s="16"/>
      <c r="L48" s="16"/>
      <c r="M48" s="16"/>
      <c r="N48" s="17"/>
    </row>
    <row r="49" spans="1:26" x14ac:dyDescent="0.25">
      <c r="B49" s="14"/>
      <c r="C49" s="18" t="s">
        <v>40</v>
      </c>
      <c r="D49" s="19">
        <v>0.5</v>
      </c>
      <c r="E49" s="16"/>
      <c r="F49" s="16"/>
      <c r="G49" s="16"/>
      <c r="H49" s="16"/>
      <c r="I49" s="16"/>
      <c r="J49" s="16"/>
      <c r="K49" s="16"/>
      <c r="L49" s="16"/>
      <c r="M49" s="16"/>
      <c r="N49" s="17"/>
    </row>
    <row r="50" spans="1:26" x14ac:dyDescent="0.25">
      <c r="B50" s="14"/>
      <c r="C50" s="18" t="s">
        <v>45</v>
      </c>
      <c r="D50" s="19">
        <f>D48^2</f>
        <v>0.25</v>
      </c>
      <c r="E50" s="16"/>
      <c r="F50" s="16"/>
      <c r="G50" s="16"/>
      <c r="H50" s="16"/>
      <c r="I50" s="16"/>
      <c r="J50" s="16"/>
      <c r="K50" s="16"/>
      <c r="L50" s="16"/>
      <c r="M50" s="16"/>
      <c r="N50" s="17"/>
    </row>
    <row r="51" spans="1:26" x14ac:dyDescent="0.25">
      <c r="B51" s="14"/>
      <c r="C51" s="18" t="s">
        <v>46</v>
      </c>
      <c r="D51" s="19">
        <f>D49^2</f>
        <v>0.25</v>
      </c>
      <c r="E51" s="16"/>
      <c r="F51" s="16"/>
      <c r="G51" s="16"/>
      <c r="H51" s="16"/>
      <c r="I51" s="16"/>
      <c r="J51" s="16"/>
      <c r="K51" s="16"/>
      <c r="L51" s="16"/>
      <c r="M51" s="16"/>
      <c r="N51" s="17"/>
    </row>
    <row r="52" spans="1:26" x14ac:dyDescent="0.25">
      <c r="B52" s="14"/>
      <c r="C52" s="18" t="s">
        <v>41</v>
      </c>
      <c r="D52" s="19">
        <v>2.02</v>
      </c>
      <c r="E52" s="16"/>
      <c r="F52" s="16"/>
      <c r="G52" s="16"/>
      <c r="H52" s="16"/>
      <c r="I52" s="16"/>
      <c r="J52" s="16"/>
      <c r="K52" s="16"/>
      <c r="L52" s="16"/>
      <c r="M52" s="16"/>
      <c r="N52" s="17"/>
    </row>
    <row r="53" spans="1:26" x14ac:dyDescent="0.25">
      <c r="B53" s="14"/>
      <c r="C53" s="18" t="s">
        <v>42</v>
      </c>
      <c r="D53" s="19">
        <v>2.36</v>
      </c>
      <c r="E53" s="16"/>
      <c r="F53" s="16"/>
      <c r="G53" s="16"/>
      <c r="H53" s="16"/>
      <c r="I53" s="16"/>
      <c r="J53" s="16"/>
      <c r="K53" s="16"/>
      <c r="L53" s="16"/>
      <c r="M53" s="16"/>
      <c r="N53" s="17"/>
    </row>
    <row r="54" spans="1:26" x14ac:dyDescent="0.25">
      <c r="B54" s="14"/>
      <c r="C54" s="18" t="s">
        <v>49</v>
      </c>
      <c r="D54" s="19">
        <v>-1</v>
      </c>
      <c r="E54" s="16"/>
      <c r="F54" s="16"/>
      <c r="G54" s="16"/>
      <c r="H54" s="16"/>
      <c r="I54" s="16"/>
      <c r="J54" s="16"/>
      <c r="K54" s="16"/>
      <c r="L54" s="16"/>
      <c r="M54" s="16"/>
      <c r="N54" s="17"/>
    </row>
    <row r="55" spans="1:26" x14ac:dyDescent="0.25">
      <c r="B55" s="14"/>
      <c r="C55" s="32" t="s">
        <v>50</v>
      </c>
      <c r="D55" s="19">
        <v>0.125</v>
      </c>
      <c r="E55" s="16"/>
      <c r="F55" s="16"/>
      <c r="G55" s="16"/>
      <c r="H55" s="16"/>
      <c r="I55" s="16"/>
      <c r="J55" s="16"/>
      <c r="K55" s="16"/>
      <c r="L55" s="16"/>
      <c r="M55" s="16"/>
      <c r="N55" s="17"/>
    </row>
    <row r="56" spans="1:26" x14ac:dyDescent="0.25">
      <c r="B56" s="14"/>
      <c r="C56" s="32" t="s">
        <v>51</v>
      </c>
      <c r="D56" s="19">
        <v>5.1200000000000002E-2</v>
      </c>
      <c r="E56" s="16"/>
      <c r="F56" s="16"/>
      <c r="G56" s="16"/>
      <c r="H56" s="16"/>
      <c r="I56" s="16"/>
      <c r="J56" s="16"/>
      <c r="K56" s="16"/>
      <c r="L56" s="16"/>
      <c r="M56" s="16"/>
      <c r="N56" s="17"/>
    </row>
    <row r="57" spans="1:26" x14ac:dyDescent="0.25">
      <c r="B57" s="14"/>
      <c r="C57" s="20" t="s">
        <v>82</v>
      </c>
      <c r="D57" s="21">
        <f>D50*D52+D51*D53+2*D48*D49*D54*D55*D56</f>
        <v>1.0917999999999999</v>
      </c>
      <c r="E57" s="16"/>
      <c r="F57" s="16"/>
      <c r="G57" s="16"/>
      <c r="H57" s="16"/>
      <c r="I57" s="16"/>
      <c r="J57" s="16"/>
      <c r="K57" s="16"/>
      <c r="L57" s="16"/>
      <c r="M57" s="16"/>
      <c r="N57" s="17"/>
    </row>
    <row r="58" spans="1:26" ht="15.75" thickBot="1" x14ac:dyDescent="0.3">
      <c r="B58" s="22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4"/>
    </row>
    <row r="60" spans="1:26" ht="15.75" thickBot="1" x14ac:dyDescent="0.3"/>
    <row r="61" spans="1:26" ht="21" x14ac:dyDescent="0.35">
      <c r="A61" s="46" t="s">
        <v>84</v>
      </c>
      <c r="B61" s="12"/>
      <c r="C61" s="12"/>
      <c r="D61" s="12"/>
      <c r="E61" s="12"/>
      <c r="F61" s="12"/>
      <c r="G61" s="13"/>
      <c r="L61" s="11"/>
      <c r="M61" s="33" t="s">
        <v>52</v>
      </c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spans="1:26" x14ac:dyDescent="0.25">
      <c r="A62" s="14"/>
      <c r="B62" s="16"/>
      <c r="C62" s="16"/>
      <c r="D62" s="16"/>
      <c r="E62" s="16"/>
      <c r="F62" s="16"/>
      <c r="G62" s="17"/>
      <c r="L62" s="14"/>
      <c r="M62" s="16"/>
      <c r="N62" s="16"/>
      <c r="O62" s="16"/>
      <c r="P62" s="16"/>
      <c r="Q62" s="16"/>
      <c r="R62" s="16">
        <v>0.5</v>
      </c>
      <c r="S62" s="16"/>
      <c r="T62" s="16"/>
      <c r="U62" s="16"/>
      <c r="V62" s="16"/>
      <c r="W62" s="16"/>
      <c r="X62" s="16"/>
      <c r="Y62" s="19" t="s">
        <v>53</v>
      </c>
      <c r="Z62" s="34"/>
    </row>
    <row r="63" spans="1:26" x14ac:dyDescent="0.25">
      <c r="A63" s="14"/>
      <c r="B63" s="16"/>
      <c r="C63" s="16"/>
      <c r="D63" s="16"/>
      <c r="E63" s="16"/>
      <c r="F63" s="16"/>
      <c r="G63" s="17"/>
      <c r="L63" s="14"/>
      <c r="M63" s="16"/>
      <c r="N63" s="35" t="s">
        <v>54</v>
      </c>
      <c r="O63" s="35"/>
      <c r="P63" s="35"/>
      <c r="Q63" s="16"/>
      <c r="R63" s="16" t="s">
        <v>55</v>
      </c>
      <c r="S63" s="16"/>
      <c r="T63" s="16" t="s">
        <v>56</v>
      </c>
      <c r="U63" s="16"/>
      <c r="V63" s="16"/>
      <c r="W63" s="16"/>
      <c r="X63" s="16"/>
      <c r="Y63" s="36" t="s">
        <v>57</v>
      </c>
      <c r="Z63" s="17"/>
    </row>
    <row r="64" spans="1:26" x14ac:dyDescent="0.25">
      <c r="A64" s="14"/>
      <c r="B64" s="16"/>
      <c r="C64" s="16"/>
      <c r="D64" s="16"/>
      <c r="E64" s="16"/>
      <c r="F64" s="16"/>
      <c r="G64" s="17"/>
      <c r="L64" s="14"/>
      <c r="M64" s="16" t="s">
        <v>58</v>
      </c>
      <c r="N64" s="37" t="s">
        <v>59</v>
      </c>
      <c r="O64" s="37" t="s">
        <v>60</v>
      </c>
      <c r="P64" s="37" t="s">
        <v>61</v>
      </c>
      <c r="Q64" s="16"/>
      <c r="R64" s="38" t="s">
        <v>62</v>
      </c>
      <c r="S64" s="38"/>
      <c r="T64" s="38" t="s">
        <v>63</v>
      </c>
      <c r="U64" s="16"/>
      <c r="V64" s="16"/>
      <c r="W64" s="16"/>
      <c r="X64" s="16"/>
      <c r="Y64" s="16"/>
      <c r="Z64" s="17"/>
    </row>
    <row r="65" spans="1:26" x14ac:dyDescent="0.25">
      <c r="A65" s="14"/>
      <c r="B65" s="16"/>
      <c r="C65" s="16"/>
      <c r="D65" s="16"/>
      <c r="E65" s="16"/>
      <c r="F65" s="16"/>
      <c r="G65" s="17"/>
      <c r="L65" s="14"/>
      <c r="M65" s="16">
        <v>2011</v>
      </c>
      <c r="N65" s="39">
        <v>0.08</v>
      </c>
      <c r="O65" s="39">
        <v>0.16</v>
      </c>
      <c r="P65" s="39">
        <v>0.08</v>
      </c>
      <c r="Q65" s="16"/>
      <c r="R65" s="39">
        <f>$F$2*N65+$F$2*O65</f>
        <v>0</v>
      </c>
      <c r="S65" s="16"/>
      <c r="T65" s="39">
        <f>$F$2*N65+$F$2*P65</f>
        <v>0</v>
      </c>
      <c r="U65" s="16"/>
      <c r="V65" s="16"/>
      <c r="W65" s="16"/>
      <c r="X65" s="16"/>
      <c r="Y65" s="16"/>
      <c r="Z65" s="17"/>
    </row>
    <row r="66" spans="1:26" x14ac:dyDescent="0.25">
      <c r="A66" s="14"/>
      <c r="B66" s="16"/>
      <c r="C66" s="16"/>
      <c r="D66" s="16"/>
      <c r="E66" s="16"/>
      <c r="F66" s="16"/>
      <c r="G66" s="17"/>
      <c r="L66" s="14"/>
      <c r="M66" s="16">
        <v>2012</v>
      </c>
      <c r="N66" s="39">
        <v>0.1</v>
      </c>
      <c r="O66" s="39">
        <v>0.14000000000000001</v>
      </c>
      <c r="P66" s="39">
        <v>0.1</v>
      </c>
      <c r="Q66" s="16"/>
      <c r="R66" s="39">
        <f>$F$2*N66+$F$2*O66</f>
        <v>0</v>
      </c>
      <c r="S66" s="16"/>
      <c r="T66" s="39">
        <f>$F$2*N66+$F$2*P66</f>
        <v>0</v>
      </c>
      <c r="U66" s="16"/>
      <c r="V66" s="16"/>
      <c r="W66" s="16"/>
      <c r="X66" s="16"/>
      <c r="Y66" s="16"/>
      <c r="Z66" s="17"/>
    </row>
    <row r="67" spans="1:26" x14ac:dyDescent="0.25">
      <c r="A67" s="14"/>
      <c r="B67" s="16"/>
      <c r="C67" s="16"/>
      <c r="D67" s="16"/>
      <c r="E67" s="16"/>
      <c r="F67" s="16"/>
      <c r="G67" s="17"/>
      <c r="L67" s="14"/>
      <c r="M67" s="16">
        <v>2013</v>
      </c>
      <c r="N67" s="39">
        <v>0.12</v>
      </c>
      <c r="O67" s="39">
        <v>0.12</v>
      </c>
      <c r="P67" s="39">
        <v>0.12</v>
      </c>
      <c r="Q67" s="16"/>
      <c r="R67" s="39">
        <f>$F$2*N67+$F$2*O67</f>
        <v>0</v>
      </c>
      <c r="S67" s="16"/>
      <c r="T67" s="39">
        <f>$F$2*N67+$F$2*P67</f>
        <v>0</v>
      </c>
      <c r="U67" s="16"/>
      <c r="V67" s="16"/>
      <c r="W67" s="16"/>
      <c r="X67" s="16"/>
      <c r="Y67" s="16"/>
      <c r="Z67" s="17"/>
    </row>
    <row r="68" spans="1:26" x14ac:dyDescent="0.25">
      <c r="A68" s="14"/>
      <c r="B68" s="16"/>
      <c r="C68" s="16"/>
      <c r="D68" s="16"/>
      <c r="E68" s="16"/>
      <c r="F68" s="16"/>
      <c r="G68" s="17"/>
      <c r="L68" s="14"/>
      <c r="M68" s="16">
        <v>2014</v>
      </c>
      <c r="N68" s="39">
        <v>0.14000000000000001</v>
      </c>
      <c r="O68" s="39">
        <v>0.1</v>
      </c>
      <c r="P68" s="39">
        <v>0.14000000000000001</v>
      </c>
      <c r="Q68" s="16"/>
      <c r="R68" s="39">
        <f>$F$2*N68+$F$2*O68</f>
        <v>0</v>
      </c>
      <c r="S68" s="16"/>
      <c r="T68" s="39">
        <f>$F$2*N68+$F$2*P68</f>
        <v>0</v>
      </c>
      <c r="U68" s="16"/>
      <c r="V68" s="16"/>
      <c r="W68" s="16"/>
      <c r="X68" s="16"/>
      <c r="Y68" s="16"/>
      <c r="Z68" s="17"/>
    </row>
    <row r="69" spans="1:26" x14ac:dyDescent="0.25">
      <c r="A69" s="14"/>
      <c r="B69" s="16"/>
      <c r="C69" s="16"/>
      <c r="D69" s="16"/>
      <c r="E69" s="16"/>
      <c r="F69" s="16"/>
      <c r="G69" s="17"/>
      <c r="L69" s="14"/>
      <c r="M69" s="16">
        <v>2015</v>
      </c>
      <c r="N69" s="39">
        <v>0.16</v>
      </c>
      <c r="O69" s="39">
        <v>0.08</v>
      </c>
      <c r="P69" s="39">
        <v>0.16</v>
      </c>
      <c r="Q69" s="16"/>
      <c r="R69" s="39">
        <f>$F$2*N69+$F$2*O69</f>
        <v>0</v>
      </c>
      <c r="S69" s="16"/>
      <c r="T69" s="39">
        <f>$F$2*N69+$F$2*P69</f>
        <v>0</v>
      </c>
      <c r="U69" s="16"/>
      <c r="V69" s="16"/>
      <c r="W69" s="16"/>
      <c r="X69" s="16"/>
      <c r="Y69" s="16"/>
      <c r="Z69" s="17"/>
    </row>
    <row r="70" spans="1:26" x14ac:dyDescent="0.25">
      <c r="A70" s="14"/>
      <c r="B70" s="16"/>
      <c r="C70" s="16"/>
      <c r="D70" s="16"/>
      <c r="E70" s="16"/>
      <c r="F70" s="16"/>
      <c r="G70" s="17"/>
      <c r="L70" s="14"/>
      <c r="M70" s="16"/>
      <c r="N70" s="16"/>
      <c r="O70" s="16"/>
      <c r="P70" s="16"/>
      <c r="Q70" s="16"/>
      <c r="R70" s="16"/>
      <c r="S70" s="16"/>
      <c r="T70" s="16"/>
      <c r="U70" s="16"/>
      <c r="V70" s="36" t="s">
        <v>64</v>
      </c>
      <c r="W70" s="36"/>
      <c r="X70" s="16"/>
      <c r="Y70" s="16"/>
      <c r="Z70" s="17"/>
    </row>
    <row r="71" spans="1:26" x14ac:dyDescent="0.25">
      <c r="A71" s="14"/>
      <c r="B71" s="16"/>
      <c r="C71" s="16"/>
      <c r="D71" s="16"/>
      <c r="E71" s="16"/>
      <c r="F71" s="16"/>
      <c r="G71" s="17"/>
      <c r="L71" s="14"/>
      <c r="M71" s="19" t="s">
        <v>65</v>
      </c>
      <c r="N71" s="40">
        <f>AVERAGE(N65:N69)</f>
        <v>0.12</v>
      </c>
      <c r="O71" s="40">
        <f>AVERAGE(O65:O69)</f>
        <v>0.12</v>
      </c>
      <c r="P71" s="40">
        <f t="shared" ref="P71" si="0">AVERAGE(P65:P69)</f>
        <v>0.12</v>
      </c>
      <c r="Q71" s="40"/>
      <c r="R71" s="40">
        <f>AVERAGE(R65:R69)</f>
        <v>0</v>
      </c>
      <c r="S71" s="40"/>
      <c r="T71" s="40">
        <f>AVERAGE(T65:T69)</f>
        <v>0</v>
      </c>
      <c r="U71" s="16"/>
      <c r="V71" s="41">
        <f>R62*N71+R62*O71</f>
        <v>0.12</v>
      </c>
      <c r="W71" s="41">
        <f>R62*O71+R62*P71</f>
        <v>0.12</v>
      </c>
      <c r="X71" s="16"/>
      <c r="Y71" s="16"/>
      <c r="Z71" s="17"/>
    </row>
    <row r="72" spans="1:26" x14ac:dyDescent="0.25">
      <c r="A72" s="14"/>
      <c r="B72" s="16"/>
      <c r="C72" s="16"/>
      <c r="D72" s="16"/>
      <c r="E72" s="16"/>
      <c r="F72" s="16"/>
      <c r="G72" s="17"/>
      <c r="L72" s="14"/>
      <c r="M72" s="19" t="s">
        <v>66</v>
      </c>
      <c r="N72" s="42">
        <f>VAR(N65:N69)</f>
        <v>1.0000000000000009E-3</v>
      </c>
      <c r="O72" s="42">
        <f>VAR(O65:O69)</f>
        <v>1.0000000000000009E-3</v>
      </c>
      <c r="P72" s="42">
        <f>VAR(P65:P69)</f>
        <v>1.0000000000000009E-3</v>
      </c>
      <c r="Q72" s="42"/>
      <c r="R72" s="42">
        <f>VAR(R65:R69)</f>
        <v>0</v>
      </c>
      <c r="S72" s="42"/>
      <c r="T72" s="42">
        <f>VAR(T65:T69)</f>
        <v>0</v>
      </c>
      <c r="U72" s="16"/>
      <c r="V72" s="43">
        <f>(R62^2)*N72+(R62^2)*O72+2*R62*R62*N74*N73*O73</f>
        <v>0</v>
      </c>
      <c r="W72" s="44">
        <f>(R62^2)*O72+(R62^2)*P72+2*R62*R62*N75*O73*P73</f>
        <v>1.0000000000000009E-3</v>
      </c>
      <c r="X72" s="16"/>
      <c r="Y72" s="16"/>
      <c r="Z72" s="17"/>
    </row>
    <row r="73" spans="1:26" x14ac:dyDescent="0.25">
      <c r="A73" s="14"/>
      <c r="B73" s="16"/>
      <c r="C73" s="16"/>
      <c r="D73" s="16"/>
      <c r="E73" s="16"/>
      <c r="F73" s="16"/>
      <c r="G73" s="17"/>
      <c r="L73" s="14"/>
      <c r="M73" s="19" t="s">
        <v>67</v>
      </c>
      <c r="N73" s="42">
        <f>SQRT(N72)</f>
        <v>3.1622776601683805E-2</v>
      </c>
      <c r="O73" s="42">
        <f t="shared" ref="O73:P73" si="1">SQRT(O72)</f>
        <v>3.1622776601683805E-2</v>
      </c>
      <c r="P73" s="42">
        <f t="shared" si="1"/>
        <v>3.1622776601683805E-2</v>
      </c>
      <c r="Q73" s="42"/>
      <c r="R73" s="42">
        <f>SQRT(R72)</f>
        <v>0</v>
      </c>
      <c r="S73" s="42"/>
      <c r="T73" s="42">
        <f>SQRT(T72)</f>
        <v>0</v>
      </c>
      <c r="U73" s="16"/>
      <c r="V73" s="43">
        <f>SQRT(V72)</f>
        <v>0</v>
      </c>
      <c r="W73" s="44">
        <f>SQRT(W72)</f>
        <v>3.1622776601683805E-2</v>
      </c>
      <c r="X73" s="16"/>
      <c r="Y73" s="16"/>
      <c r="Z73" s="17"/>
    </row>
    <row r="74" spans="1:26" x14ac:dyDescent="0.25">
      <c r="A74" s="47" t="s">
        <v>83</v>
      </c>
      <c r="B74" s="49" t="s">
        <v>75</v>
      </c>
      <c r="C74" s="49" t="s">
        <v>77</v>
      </c>
      <c r="D74" s="16"/>
      <c r="E74" s="16"/>
      <c r="F74" s="16"/>
      <c r="G74" s="17"/>
      <c r="L74" s="14"/>
      <c r="M74" s="16" t="s">
        <v>68</v>
      </c>
      <c r="N74" s="16">
        <f>CORREL(N65:N69,O65:O69)</f>
        <v>-1</v>
      </c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7"/>
    </row>
    <row r="75" spans="1:26" x14ac:dyDescent="0.25">
      <c r="A75" s="47" t="s">
        <v>67</v>
      </c>
      <c r="B75" s="19">
        <v>3.1600000000000003E-2</v>
      </c>
      <c r="C75" s="19">
        <v>2.1100000000000001E-2</v>
      </c>
      <c r="D75" s="16"/>
      <c r="E75" s="16"/>
      <c r="F75" s="16"/>
      <c r="G75" s="17"/>
      <c r="L75" s="14"/>
      <c r="M75" s="16" t="s">
        <v>69</v>
      </c>
      <c r="N75" s="16">
        <f>CORREL(N65:N69,P65:P69)</f>
        <v>1</v>
      </c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7"/>
    </row>
    <row r="76" spans="1:26" x14ac:dyDescent="0.25">
      <c r="A76" s="47" t="s">
        <v>78</v>
      </c>
      <c r="B76" s="19">
        <f>B75^2</f>
        <v>9.9856000000000012E-4</v>
      </c>
      <c r="C76" s="19">
        <f>C75^2</f>
        <v>4.4521000000000003E-4</v>
      </c>
      <c r="D76" s="16"/>
      <c r="E76" s="16"/>
      <c r="F76" s="16"/>
      <c r="G76" s="17"/>
      <c r="L76" s="14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7"/>
    </row>
    <row r="77" spans="1:26" x14ac:dyDescent="0.25">
      <c r="A77" s="47" t="s">
        <v>79</v>
      </c>
      <c r="B77" s="19">
        <v>0.1</v>
      </c>
      <c r="C77" s="19">
        <v>0.12</v>
      </c>
      <c r="D77" s="16"/>
      <c r="E77" s="16"/>
      <c r="F77" s="16"/>
      <c r="G77" s="17"/>
      <c r="L77" s="14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7"/>
    </row>
    <row r="78" spans="1:26" x14ac:dyDescent="0.25">
      <c r="A78" s="47"/>
      <c r="B78" s="19"/>
      <c r="C78" s="16"/>
      <c r="D78" s="16"/>
      <c r="E78" s="16"/>
      <c r="F78" s="16"/>
      <c r="G78" s="17"/>
      <c r="L78" s="14"/>
      <c r="M78" s="45" t="s">
        <v>62</v>
      </c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7"/>
    </row>
    <row r="79" spans="1:26" x14ac:dyDescent="0.25">
      <c r="A79" s="47" t="s">
        <v>76</v>
      </c>
      <c r="B79" s="19">
        <v>-0.81699999999999995</v>
      </c>
      <c r="C79" s="16"/>
      <c r="D79" s="16"/>
      <c r="E79" s="16"/>
      <c r="F79" s="16"/>
      <c r="G79" s="17"/>
      <c r="L79" s="14"/>
      <c r="M79" s="16" t="s">
        <v>70</v>
      </c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7"/>
    </row>
    <row r="80" spans="1:26" x14ac:dyDescent="0.25">
      <c r="A80" s="47"/>
      <c r="B80" s="19"/>
      <c r="C80" s="16"/>
      <c r="D80" s="16"/>
      <c r="E80" s="16"/>
      <c r="F80" s="16"/>
      <c r="G80" s="17"/>
      <c r="L80" s="14"/>
      <c r="M80" s="16" t="s">
        <v>71</v>
      </c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7"/>
    </row>
    <row r="81" spans="1:26" x14ac:dyDescent="0.25">
      <c r="A81" s="47" t="s">
        <v>80</v>
      </c>
      <c r="B81" s="19">
        <f>(C76-B75*C75*B79)/(B76+C76+2*(B75*C75*B79))</f>
        <v>2.794234210188792</v>
      </c>
      <c r="C81" s="16"/>
      <c r="D81" s="16"/>
      <c r="E81" s="16"/>
      <c r="F81" s="16"/>
      <c r="G81" s="17"/>
      <c r="L81" s="14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7"/>
    </row>
    <row r="82" spans="1:26" x14ac:dyDescent="0.25">
      <c r="A82" s="47" t="s">
        <v>81</v>
      </c>
      <c r="B82" s="19">
        <f>1-B81</f>
        <v>-1.794234210188792</v>
      </c>
      <c r="C82" s="16"/>
      <c r="D82" s="16"/>
      <c r="E82" s="16"/>
      <c r="F82" s="16"/>
      <c r="G82" s="17"/>
      <c r="L82" s="14"/>
      <c r="M82" s="45" t="s">
        <v>63</v>
      </c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7"/>
    </row>
    <row r="83" spans="1:26" x14ac:dyDescent="0.25">
      <c r="A83" s="47" t="s">
        <v>34</v>
      </c>
      <c r="B83" s="19">
        <f>B81*B77+B82*C77</f>
        <v>6.4115315796224204E-2</v>
      </c>
      <c r="C83" s="16"/>
      <c r="D83" s="16"/>
      <c r="E83" s="16"/>
      <c r="F83" s="16"/>
      <c r="G83" s="17"/>
      <c r="L83" s="14"/>
      <c r="M83" s="16" t="s">
        <v>72</v>
      </c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7"/>
    </row>
    <row r="84" spans="1:26" x14ac:dyDescent="0.25">
      <c r="A84" s="47"/>
      <c r="B84" s="19"/>
      <c r="C84" s="16"/>
      <c r="D84" s="16"/>
      <c r="E84" s="16"/>
      <c r="F84" s="16"/>
      <c r="G84" s="17"/>
      <c r="L84" s="14"/>
      <c r="M84" s="16" t="s">
        <v>73</v>
      </c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7"/>
    </row>
    <row r="85" spans="1:26" x14ac:dyDescent="0.25">
      <c r="A85" s="48" t="s">
        <v>82</v>
      </c>
      <c r="B85" s="50">
        <f>B81^2*B76+B82^2*C76+2*B81*B82*B79*B75*C75</f>
        <v>1.4691904534933835E-2</v>
      </c>
      <c r="C85" s="16"/>
      <c r="D85" s="16"/>
      <c r="E85" s="16"/>
      <c r="F85" s="16"/>
      <c r="G85" s="17"/>
      <c r="L85" s="14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7"/>
    </row>
    <row r="86" spans="1:26" ht="15.75" thickBot="1" x14ac:dyDescent="0.3">
      <c r="A86" s="22"/>
      <c r="B86" s="23"/>
      <c r="C86" s="23"/>
      <c r="D86" s="23"/>
      <c r="E86" s="23"/>
      <c r="F86" s="23"/>
      <c r="G86" s="24"/>
      <c r="L86" s="14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7"/>
    </row>
    <row r="87" spans="1:26" x14ac:dyDescent="0.25">
      <c r="L87" s="14"/>
      <c r="M87" s="45" t="s">
        <v>74</v>
      </c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7"/>
    </row>
    <row r="88" spans="1:26" ht="15.75" thickBot="1" x14ac:dyDescent="0.3">
      <c r="L88" s="22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4"/>
    </row>
    <row r="91" spans="1:26" ht="15.75" thickBot="1" x14ac:dyDescent="0.3"/>
    <row r="92" spans="1:26" x14ac:dyDescent="0.25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3"/>
    </row>
    <row r="93" spans="1:26" x14ac:dyDescent="0.25">
      <c r="A93" s="14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7"/>
    </row>
    <row r="94" spans="1:26" x14ac:dyDescent="0.25">
      <c r="A94" s="14"/>
      <c r="B94" s="16"/>
      <c r="C94" s="16"/>
      <c r="D94" s="16"/>
      <c r="E94" s="16"/>
      <c r="F94" s="16"/>
      <c r="G94" s="16"/>
      <c r="H94" s="16"/>
      <c r="I94" s="16"/>
      <c r="J94" s="16"/>
      <c r="K94" s="51" t="s">
        <v>85</v>
      </c>
      <c r="L94" s="52" t="s">
        <v>89</v>
      </c>
      <c r="M94" s="51" t="s">
        <v>87</v>
      </c>
      <c r="N94" s="18"/>
      <c r="O94" s="51" t="s">
        <v>88</v>
      </c>
      <c r="P94" s="51" t="s">
        <v>94</v>
      </c>
      <c r="Q94" s="17"/>
    </row>
    <row r="95" spans="1:26" x14ac:dyDescent="0.25">
      <c r="A95" s="14"/>
      <c r="B95" s="16"/>
      <c r="C95" s="16"/>
      <c r="D95" s="16"/>
      <c r="E95" s="16"/>
      <c r="F95" s="16"/>
      <c r="G95" s="16"/>
      <c r="H95" s="16"/>
      <c r="I95" s="16"/>
      <c r="J95" s="16"/>
      <c r="K95" s="18" t="s">
        <v>75</v>
      </c>
      <c r="L95" s="19">
        <v>4.2700000000000002E-2</v>
      </c>
      <c r="M95" s="19">
        <v>0.1</v>
      </c>
      <c r="N95" s="19" t="s">
        <v>90</v>
      </c>
      <c r="O95" s="19">
        <v>1.8E-3</v>
      </c>
      <c r="P95" s="19">
        <v>0.25</v>
      </c>
      <c r="Q95" s="17"/>
    </row>
    <row r="96" spans="1:26" x14ac:dyDescent="0.25">
      <c r="A96" s="14"/>
      <c r="B96" s="16"/>
      <c r="C96" s="16"/>
      <c r="D96" s="16"/>
      <c r="E96" s="16"/>
      <c r="F96" s="16"/>
      <c r="G96" s="16"/>
      <c r="H96" s="16"/>
      <c r="I96" s="16"/>
      <c r="J96" s="16"/>
      <c r="K96" s="18" t="s">
        <v>77</v>
      </c>
      <c r="L96" s="19">
        <v>1.5E-3</v>
      </c>
      <c r="M96" s="19">
        <v>0.10440000000000001</v>
      </c>
      <c r="N96" s="19" t="s">
        <v>91</v>
      </c>
      <c r="O96" s="19">
        <v>1.1000000000000001E-3</v>
      </c>
      <c r="P96" s="19">
        <v>0.35</v>
      </c>
      <c r="Q96" s="17"/>
    </row>
    <row r="97" spans="1:17" x14ac:dyDescent="0.25">
      <c r="A97" s="14"/>
      <c r="B97" s="16"/>
      <c r="C97" s="16"/>
      <c r="D97" s="16"/>
      <c r="E97" s="16"/>
      <c r="F97" s="16"/>
      <c r="G97" s="16"/>
      <c r="H97" s="16"/>
      <c r="I97" s="16"/>
      <c r="J97" s="16"/>
      <c r="K97" s="18" t="s">
        <v>86</v>
      </c>
      <c r="L97" s="19">
        <v>2.8500000000000001E-2</v>
      </c>
      <c r="M97" s="19">
        <v>0.1411</v>
      </c>
      <c r="N97" s="19" t="s">
        <v>92</v>
      </c>
      <c r="O97" s="19">
        <v>2.5999999999999999E-3</v>
      </c>
      <c r="P97" s="19">
        <v>0.4</v>
      </c>
      <c r="Q97" s="17"/>
    </row>
    <row r="98" spans="1:17" x14ac:dyDescent="0.25">
      <c r="A98" s="14"/>
      <c r="B98" s="16"/>
      <c r="C98" s="16"/>
      <c r="D98" s="16"/>
      <c r="E98" s="16"/>
      <c r="F98" s="16"/>
      <c r="G98" s="16"/>
      <c r="H98" s="16"/>
      <c r="I98" s="16"/>
      <c r="J98" s="16"/>
      <c r="L98" s="16"/>
      <c r="M98" s="16"/>
      <c r="N98" s="16"/>
      <c r="O98" s="16"/>
      <c r="P98" s="16"/>
      <c r="Q98" s="17"/>
    </row>
    <row r="99" spans="1:17" ht="15" customHeight="1" x14ac:dyDescent="0.25">
      <c r="A99" s="14"/>
      <c r="B99" s="16"/>
      <c r="C99" s="16"/>
      <c r="D99" s="16"/>
      <c r="E99" s="16"/>
      <c r="F99" s="16"/>
      <c r="G99" s="16"/>
      <c r="H99" s="16"/>
      <c r="I99" s="16"/>
      <c r="J99" s="16"/>
      <c r="K99" s="18" t="s">
        <v>93</v>
      </c>
      <c r="L99" s="19">
        <f>P95*L95+P96*L96+P97*L97</f>
        <v>2.2600000000000002E-2</v>
      </c>
      <c r="M99" s="16"/>
      <c r="N99" s="16"/>
      <c r="O99" s="16"/>
      <c r="P99" s="16"/>
      <c r="Q99" s="17"/>
    </row>
    <row r="100" spans="1:17" x14ac:dyDescent="0.25">
      <c r="A100" s="14"/>
      <c r="B100" s="16"/>
      <c r="C100" s="16"/>
      <c r="D100" s="16"/>
      <c r="E100" s="16"/>
      <c r="F100" s="16"/>
      <c r="G100" s="16"/>
      <c r="H100" s="16"/>
      <c r="I100" s="16"/>
      <c r="J100" s="16"/>
      <c r="K100" s="48" t="s">
        <v>82</v>
      </c>
      <c r="L100" s="50">
        <f>P95^2*M95^2+P96^2*M96^2+P97^2*M97^2+2*P95*P96*O95+2*P95*P97*O96+2*P96*P97*O97</f>
        <v>6.4086452000000002E-3</v>
      </c>
      <c r="M100" s="16"/>
      <c r="N100" s="16"/>
      <c r="O100" s="16"/>
      <c r="P100" s="16"/>
      <c r="Q100" s="17"/>
    </row>
    <row r="101" spans="1:17" x14ac:dyDescent="0.25">
      <c r="A101" s="14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7"/>
    </row>
    <row r="102" spans="1:17" x14ac:dyDescent="0.25">
      <c r="A102" s="14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7"/>
    </row>
    <row r="103" spans="1:17" x14ac:dyDescent="0.25">
      <c r="A103" s="14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7"/>
    </row>
    <row r="104" spans="1:17" x14ac:dyDescent="0.25">
      <c r="A104" s="14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7"/>
    </row>
    <row r="105" spans="1:17" x14ac:dyDescent="0.25">
      <c r="A105" s="14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7"/>
    </row>
    <row r="106" spans="1:17" x14ac:dyDescent="0.25">
      <c r="A106" s="14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7"/>
    </row>
    <row r="107" spans="1:17" x14ac:dyDescent="0.25">
      <c r="A107" s="14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7"/>
    </row>
    <row r="108" spans="1:17" ht="15.75" thickBot="1" x14ac:dyDescent="0.3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4"/>
    </row>
  </sheetData>
  <mergeCells count="1">
    <mergeCell ref="N63:P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7CA3D-47E4-43F9-9FC8-BCC2400F34F7}">
  <dimension ref="A1:Z35"/>
  <sheetViews>
    <sheetView workbookViewId="0">
      <selection activeCell="K21" sqref="K21"/>
    </sheetView>
  </sheetViews>
  <sheetFormatPr defaultRowHeight="18" customHeight="1" x14ac:dyDescent="0.25"/>
  <sheetData>
    <row r="1" spans="1:26" ht="18" customHeight="1" x14ac:dyDescent="0.35">
      <c r="A1" s="2" t="s">
        <v>95</v>
      </c>
      <c r="Z1" t="s">
        <v>114</v>
      </c>
    </row>
    <row r="2" spans="1:26" ht="18" customHeight="1" x14ac:dyDescent="0.25">
      <c r="M2" s="64" t="s">
        <v>100</v>
      </c>
      <c r="N2" s="64"/>
      <c r="O2" s="64"/>
      <c r="P2" s="64"/>
      <c r="Q2" s="64"/>
      <c r="R2" s="64"/>
      <c r="S2" s="64"/>
      <c r="T2" s="64"/>
      <c r="U2" s="64"/>
      <c r="V2" s="64"/>
      <c r="W2" s="64"/>
      <c r="X2" s="65"/>
    </row>
    <row r="3" spans="1:26" ht="18" customHeight="1" thickBot="1" x14ac:dyDescent="0.3">
      <c r="A3" s="1" t="s">
        <v>99</v>
      </c>
      <c r="M3" s="60" t="s">
        <v>58</v>
      </c>
      <c r="N3" s="60" t="s">
        <v>101</v>
      </c>
      <c r="O3" s="60" t="s">
        <v>102</v>
      </c>
      <c r="P3" s="60" t="s">
        <v>103</v>
      </c>
      <c r="Q3" s="60" t="s">
        <v>104</v>
      </c>
      <c r="R3" s="60" t="s">
        <v>105</v>
      </c>
      <c r="S3" s="60" t="s">
        <v>106</v>
      </c>
      <c r="T3" s="60" t="s">
        <v>107</v>
      </c>
      <c r="U3" s="60" t="s">
        <v>108</v>
      </c>
      <c r="V3" s="60" t="s">
        <v>109</v>
      </c>
      <c r="W3" s="60" t="s">
        <v>110</v>
      </c>
      <c r="X3" s="66" t="s">
        <v>111</v>
      </c>
    </row>
    <row r="4" spans="1:26" ht="18" customHeight="1" x14ac:dyDescent="0.25">
      <c r="A4" s="11" t="s">
        <v>75</v>
      </c>
      <c r="B4" s="12"/>
      <c r="C4" s="12"/>
      <c r="D4" s="12"/>
      <c r="E4" s="12"/>
      <c r="F4" s="12" t="s">
        <v>77</v>
      </c>
      <c r="G4" s="12"/>
      <c r="H4" s="12"/>
      <c r="I4" s="12"/>
      <c r="J4" s="13"/>
      <c r="M4" s="49">
        <v>2010</v>
      </c>
      <c r="N4" s="61">
        <v>8.5999999999999993E-2</v>
      </c>
      <c r="O4" s="61">
        <v>0.157</v>
      </c>
      <c r="P4" s="61">
        <v>0.48</v>
      </c>
      <c r="Q4" s="61">
        <v>1.0999999999999999E-2</v>
      </c>
      <c r="R4" s="61">
        <v>-1.4999999999999999E-2</v>
      </c>
      <c r="S4" s="61">
        <v>0.33600000000000002</v>
      </c>
      <c r="T4" s="61">
        <v>0.40799999999999997</v>
      </c>
      <c r="U4" s="61">
        <v>0.85799999999999998</v>
      </c>
      <c r="V4" s="61">
        <v>0.64200000000000002</v>
      </c>
      <c r="W4" s="61">
        <v>0.72</v>
      </c>
      <c r="X4" s="67">
        <f>AVERAGE(N4:W4)</f>
        <v>0.36829999999999996</v>
      </c>
    </row>
    <row r="5" spans="1:26" ht="18" customHeight="1" x14ac:dyDescent="0.25">
      <c r="A5" s="58">
        <v>2</v>
      </c>
      <c r="B5" s="54">
        <v>1</v>
      </c>
      <c r="C5" s="54">
        <v>3</v>
      </c>
      <c r="D5" s="54">
        <v>2</v>
      </c>
      <c r="E5" s="16"/>
      <c r="F5" s="55">
        <v>1</v>
      </c>
      <c r="G5" s="55">
        <v>4</v>
      </c>
      <c r="H5" s="55">
        <v>5</v>
      </c>
      <c r="I5" s="55">
        <v>6</v>
      </c>
      <c r="J5" s="17"/>
      <c r="M5" s="49">
        <v>2009</v>
      </c>
      <c r="N5" s="61">
        <v>1.115</v>
      </c>
      <c r="O5" s="61">
        <v>0.57199999999999995</v>
      </c>
      <c r="P5" s="61">
        <v>9.4E-2</v>
      </c>
      <c r="Q5" s="61">
        <v>1.0469999999999999</v>
      </c>
      <c r="R5" s="61">
        <v>-7.6999999999999999E-2</v>
      </c>
      <c r="S5" s="61">
        <v>2.1709999999999998</v>
      </c>
      <c r="T5" s="61">
        <v>0.17599999999999999</v>
      </c>
      <c r="U5" s="61">
        <v>8.6999999999999994E-2</v>
      </c>
      <c r="V5" s="61">
        <v>0.187</v>
      </c>
      <c r="W5" s="61">
        <v>2.02</v>
      </c>
      <c r="X5" s="67">
        <f t="shared" ref="X5:X11" si="0">AVERAGE(N5:W5)</f>
        <v>0.73919999999999997</v>
      </c>
    </row>
    <row r="6" spans="1:26" ht="18" customHeight="1" x14ac:dyDescent="0.25">
      <c r="A6" s="58">
        <v>3</v>
      </c>
      <c r="B6" s="54">
        <v>1</v>
      </c>
      <c r="C6" s="54">
        <v>5</v>
      </c>
      <c r="D6" s="54">
        <v>1</v>
      </c>
      <c r="E6" s="16"/>
      <c r="F6" s="55">
        <v>5</v>
      </c>
      <c r="G6" s="55">
        <v>7</v>
      </c>
      <c r="H6" s="55">
        <v>3</v>
      </c>
      <c r="I6" s="55">
        <v>1</v>
      </c>
      <c r="J6" s="17"/>
      <c r="M6" s="49">
        <v>2008</v>
      </c>
      <c r="N6" s="61">
        <v>-0.39300000000000002</v>
      </c>
      <c r="O6" s="61">
        <v>-0.52</v>
      </c>
      <c r="P6" s="61">
        <v>-0.32800000000000001</v>
      </c>
      <c r="Q6" s="61">
        <v>-0.59399999999999997</v>
      </c>
      <c r="R6" s="61">
        <v>0.53700000000000003</v>
      </c>
      <c r="S6" s="61">
        <v>-0.752</v>
      </c>
      <c r="T6" s="61">
        <v>-0.22700000000000001</v>
      </c>
      <c r="U6" s="61">
        <v>-0.56799999999999995</v>
      </c>
      <c r="V6" s="61">
        <v>-0.63</v>
      </c>
      <c r="W6" s="61">
        <v>-0.71099999999999997</v>
      </c>
      <c r="X6" s="67">
        <f t="shared" si="0"/>
        <v>-0.41859999999999997</v>
      </c>
    </row>
    <row r="7" spans="1:26" ht="18" customHeight="1" x14ac:dyDescent="0.25">
      <c r="A7" s="58">
        <v>1</v>
      </c>
      <c r="B7" s="54">
        <v>2</v>
      </c>
      <c r="C7" s="54">
        <v>1</v>
      </c>
      <c r="D7" s="54">
        <v>8</v>
      </c>
      <c r="E7" s="16"/>
      <c r="F7" s="55">
        <v>1</v>
      </c>
      <c r="G7" s="55">
        <v>2</v>
      </c>
      <c r="H7" s="55">
        <v>3</v>
      </c>
      <c r="I7" s="55">
        <v>8</v>
      </c>
      <c r="J7" s="17"/>
      <c r="M7" s="49">
        <v>2007</v>
      </c>
      <c r="N7" s="61">
        <v>0.28799999999999998</v>
      </c>
      <c r="O7" s="61">
        <v>0.245</v>
      </c>
      <c r="P7" s="61">
        <v>5.8999999999999997E-2</v>
      </c>
      <c r="Q7" s="61">
        <v>0.28799999999999998</v>
      </c>
      <c r="R7" s="61">
        <v>-1E-3</v>
      </c>
      <c r="S7" s="61">
        <v>-0.183</v>
      </c>
      <c r="T7" s="61">
        <v>-0.152</v>
      </c>
      <c r="U7" s="61">
        <v>0.20200000000000001</v>
      </c>
      <c r="V7" s="61">
        <v>-0.11799999999999999</v>
      </c>
      <c r="W7" s="61">
        <v>-0.22900000000000001</v>
      </c>
      <c r="X7" s="67">
        <f t="shared" si="0"/>
        <v>3.9900000000000005E-2</v>
      </c>
    </row>
    <row r="8" spans="1:26" ht="18" customHeight="1" x14ac:dyDescent="0.25">
      <c r="A8" s="58">
        <v>1</v>
      </c>
      <c r="B8" s="54">
        <v>2</v>
      </c>
      <c r="C8" s="54">
        <v>2</v>
      </c>
      <c r="D8" s="54">
        <v>0</v>
      </c>
      <c r="E8" s="16"/>
      <c r="F8" s="55">
        <v>2</v>
      </c>
      <c r="G8" s="55">
        <v>3</v>
      </c>
      <c r="H8" s="55">
        <v>1</v>
      </c>
      <c r="I8" s="55">
        <v>5</v>
      </c>
      <c r="J8" s="17"/>
      <c r="M8" s="49">
        <v>2006</v>
      </c>
      <c r="N8" s="61">
        <v>0.17399999999999999</v>
      </c>
      <c r="O8" s="61">
        <v>-1.4999999999999999E-2</v>
      </c>
      <c r="P8" s="61">
        <v>0.108</v>
      </c>
      <c r="Q8" s="61">
        <v>-4.8000000000000001E-2</v>
      </c>
      <c r="R8" s="61">
        <v>0.29299999999999998</v>
      </c>
      <c r="S8" s="61">
        <v>-0.05</v>
      </c>
      <c r="T8" s="61">
        <v>0.26200000000000001</v>
      </c>
      <c r="U8" s="61">
        <v>0.152</v>
      </c>
      <c r="V8" s="61">
        <v>0.104</v>
      </c>
      <c r="W8" s="61">
        <v>-0.315</v>
      </c>
      <c r="X8" s="67">
        <f t="shared" si="0"/>
        <v>6.6500000000000004E-2</v>
      </c>
    </row>
    <row r="9" spans="1:26" ht="18" customHeight="1" x14ac:dyDescent="0.25">
      <c r="A9" s="58">
        <v>2</v>
      </c>
      <c r="B9" s="54">
        <v>4</v>
      </c>
      <c r="C9" s="54">
        <v>5</v>
      </c>
      <c r="D9" s="54">
        <v>5</v>
      </c>
      <c r="E9" s="16"/>
      <c r="F9" s="55">
        <v>0</v>
      </c>
      <c r="G9" s="55">
        <v>8</v>
      </c>
      <c r="H9" s="55">
        <v>7</v>
      </c>
      <c r="I9" s="55">
        <v>1</v>
      </c>
      <c r="J9" s="17"/>
      <c r="M9" s="49">
        <v>2005</v>
      </c>
      <c r="N9" s="61">
        <v>-0.106</v>
      </c>
      <c r="O9" s="61">
        <v>0.318</v>
      </c>
      <c r="P9" s="61">
        <v>2.5000000000000001E-2</v>
      </c>
      <c r="Q9" s="61">
        <v>0.67</v>
      </c>
      <c r="R9" s="61">
        <v>-0.11799999999999999</v>
      </c>
      <c r="S9" s="61">
        <v>2.5499999999999998E-2</v>
      </c>
      <c r="T9" s="61">
        <v>-3.5999999999999997E-2</v>
      </c>
      <c r="U9" s="61">
        <v>-0.22</v>
      </c>
      <c r="V9" s="61">
        <v>4.2999999999999997E-2</v>
      </c>
      <c r="W9" s="61">
        <v>1.516</v>
      </c>
      <c r="X9" s="67">
        <f t="shared" si="0"/>
        <v>0.21175000000000002</v>
      </c>
      <c r="Y9" s="75" t="s">
        <v>115</v>
      </c>
    </row>
    <row r="10" spans="1:26" ht="18" customHeight="1" x14ac:dyDescent="0.25">
      <c r="A10" s="14"/>
      <c r="B10" s="16"/>
      <c r="C10" s="16"/>
      <c r="D10" s="16"/>
      <c r="E10" s="16"/>
      <c r="F10" s="16"/>
      <c r="G10" s="16"/>
      <c r="H10" s="16"/>
      <c r="I10" s="16"/>
      <c r="J10" s="17"/>
      <c r="M10" s="49">
        <v>2004</v>
      </c>
      <c r="N10" s="61">
        <v>0.59099999999999997</v>
      </c>
      <c r="O10" s="61">
        <v>0.05</v>
      </c>
      <c r="P10" s="61">
        <v>0.246</v>
      </c>
      <c r="Q10" s="61">
        <v>0.129</v>
      </c>
      <c r="R10" s="61">
        <v>0.32300000000000001</v>
      </c>
      <c r="S10" s="61">
        <v>-0.40060000000000001</v>
      </c>
      <c r="T10" s="61">
        <v>-0.36</v>
      </c>
      <c r="U10" s="61">
        <v>0.114</v>
      </c>
      <c r="V10" s="61">
        <v>0.28199999999999997</v>
      </c>
      <c r="W10" s="61">
        <v>-0.184</v>
      </c>
      <c r="X10" s="67">
        <f t="shared" si="0"/>
        <v>7.9039999999999999E-2</v>
      </c>
    </row>
    <row r="11" spans="1:26" ht="18" customHeight="1" x14ac:dyDescent="0.25">
      <c r="A11" s="14" t="s">
        <v>96</v>
      </c>
      <c r="B11" s="16"/>
      <c r="C11" s="16"/>
      <c r="D11" s="16"/>
      <c r="E11" s="16"/>
      <c r="F11" s="16"/>
      <c r="G11" s="16"/>
      <c r="H11" s="16"/>
      <c r="I11" s="16"/>
      <c r="J11" s="17"/>
      <c r="M11" s="62">
        <v>2003</v>
      </c>
      <c r="N11" s="63">
        <v>1.581</v>
      </c>
      <c r="O11" s="63">
        <v>0.80900000000000005</v>
      </c>
      <c r="P11" s="63">
        <v>0.86499999999999999</v>
      </c>
      <c r="Q11" s="63">
        <v>2.1509999999999998</v>
      </c>
      <c r="R11" s="63">
        <v>0.435</v>
      </c>
      <c r="S11" s="63">
        <v>1.514</v>
      </c>
      <c r="T11" s="63">
        <v>0.76500000000000001</v>
      </c>
      <c r="U11" s="63">
        <v>0.95399999999999996</v>
      </c>
      <c r="V11" s="63">
        <v>0.253</v>
      </c>
      <c r="W11" s="63">
        <v>2.0150000000000001</v>
      </c>
      <c r="X11" s="68">
        <f t="shared" si="0"/>
        <v>1.1342000000000001</v>
      </c>
    </row>
    <row r="12" spans="1:26" ht="18" customHeight="1" x14ac:dyDescent="0.25">
      <c r="A12" s="59">
        <f t="array" ref="A12:D16">A5:D9-F5:I9</f>
        <v>1</v>
      </c>
      <c r="B12" s="56">
        <v>-3</v>
      </c>
      <c r="C12" s="56">
        <v>-2</v>
      </c>
      <c r="D12" s="56">
        <v>-4</v>
      </c>
      <c r="E12" s="16"/>
      <c r="F12" s="16"/>
      <c r="G12" s="16"/>
      <c r="H12" s="16"/>
      <c r="I12" s="16"/>
      <c r="J12" s="17"/>
      <c r="M12" s="69" t="s">
        <v>112</v>
      </c>
      <c r="N12" s="70">
        <f>AVERAGE(N4:N11)</f>
        <v>0.41699999999999998</v>
      </c>
      <c r="O12" s="70">
        <f t="shared" ref="O12:W12" si="1">AVERAGE(O4:O11)</f>
        <v>0.20200000000000001</v>
      </c>
      <c r="P12" s="70">
        <f t="shared" si="1"/>
        <v>0.19362499999999999</v>
      </c>
      <c r="Q12" s="70">
        <f t="shared" si="1"/>
        <v>0.45674999999999993</v>
      </c>
      <c r="R12" s="70">
        <f t="shared" si="1"/>
        <v>0.17212500000000003</v>
      </c>
      <c r="S12" s="70">
        <f t="shared" si="1"/>
        <v>0.33261249999999998</v>
      </c>
      <c r="T12" s="70">
        <f t="shared" si="1"/>
        <v>0.10450000000000001</v>
      </c>
      <c r="U12" s="70">
        <f t="shared" si="1"/>
        <v>0.19737499999999999</v>
      </c>
      <c r="V12" s="70">
        <f t="shared" si="1"/>
        <v>9.5374999999999988E-2</v>
      </c>
      <c r="W12" s="70">
        <f t="shared" si="1"/>
        <v>0.60400000000000009</v>
      </c>
      <c r="X12" s="71">
        <f>AVERAGE(N12:W12)</f>
        <v>0.27753624999999998</v>
      </c>
    </row>
    <row r="13" spans="1:26" ht="18" customHeight="1" x14ac:dyDescent="0.25">
      <c r="A13" s="59">
        <v>-2</v>
      </c>
      <c r="B13" s="56">
        <v>-6</v>
      </c>
      <c r="C13" s="56">
        <v>2</v>
      </c>
      <c r="D13" s="56">
        <v>0</v>
      </c>
      <c r="E13" s="16"/>
      <c r="F13" s="16"/>
      <c r="G13" s="16"/>
      <c r="H13" s="16"/>
      <c r="I13" s="16"/>
      <c r="J13" s="17"/>
      <c r="M13" s="72" t="s">
        <v>113</v>
      </c>
      <c r="N13" s="73">
        <f>_xlfn.STDEV.P(N4:N11)</f>
        <v>0.61107037237948303</v>
      </c>
      <c r="O13" s="73">
        <f t="shared" ref="O13:W13" si="2">_xlfn.STDEV.P(O4:O11)</f>
        <v>0.3731882902771736</v>
      </c>
      <c r="P13" s="73">
        <f t="shared" si="2"/>
        <v>0.33003898917400659</v>
      </c>
      <c r="Q13" s="73">
        <f t="shared" si="2"/>
        <v>0.78722546802043947</v>
      </c>
      <c r="R13" s="73">
        <f t="shared" si="2"/>
        <v>0.23739073144291037</v>
      </c>
      <c r="S13" s="73">
        <f t="shared" si="2"/>
        <v>0.93514089905946796</v>
      </c>
      <c r="T13" s="73">
        <f t="shared" si="2"/>
        <v>0.34811564170545395</v>
      </c>
      <c r="U13" s="73">
        <f t="shared" si="2"/>
        <v>0.47303830117126883</v>
      </c>
      <c r="V13" s="73">
        <f t="shared" si="2"/>
        <v>0.34303496086404955</v>
      </c>
      <c r="W13" s="73">
        <f t="shared" si="2"/>
        <v>1.0446169154288092</v>
      </c>
      <c r="X13" s="74">
        <f>AVERAGE(N13:W13)</f>
        <v>0.54828605695230626</v>
      </c>
    </row>
    <row r="14" spans="1:26" ht="18" customHeight="1" x14ac:dyDescent="0.25">
      <c r="A14" s="59">
        <v>0</v>
      </c>
      <c r="B14" s="56">
        <v>0</v>
      </c>
      <c r="C14" s="56">
        <v>-2</v>
      </c>
      <c r="D14" s="56">
        <v>0</v>
      </c>
      <c r="E14" s="16"/>
      <c r="F14" s="16"/>
      <c r="G14" s="16"/>
      <c r="H14" s="16"/>
      <c r="I14" s="16"/>
      <c r="J14" s="17"/>
      <c r="K14" t="s">
        <v>116</v>
      </c>
    </row>
    <row r="15" spans="1:26" ht="18" customHeight="1" x14ac:dyDescent="0.25">
      <c r="A15" s="59">
        <v>-1</v>
      </c>
      <c r="B15" s="56">
        <v>-1</v>
      </c>
      <c r="C15" s="56">
        <v>1</v>
      </c>
      <c r="D15" s="56">
        <v>-5</v>
      </c>
      <c r="E15" s="16"/>
      <c r="F15" s="16"/>
      <c r="G15" s="16"/>
      <c r="H15" s="16"/>
      <c r="I15" s="16"/>
      <c r="J15" s="17"/>
      <c r="M15" s="1" t="s">
        <v>117</v>
      </c>
    </row>
    <row r="16" spans="1:26" ht="18" customHeight="1" x14ac:dyDescent="0.25">
      <c r="A16" s="59">
        <v>2</v>
      </c>
      <c r="B16" s="56">
        <v>-4</v>
      </c>
      <c r="C16" s="56">
        <v>-2</v>
      </c>
      <c r="D16" s="56">
        <v>4</v>
      </c>
      <c r="E16" s="16"/>
      <c r="F16" s="16"/>
      <c r="G16" s="16"/>
      <c r="H16" s="16"/>
      <c r="I16" s="16"/>
      <c r="J16" s="17"/>
      <c r="M16" s="53">
        <f t="array" ref="M16:V25">MMULT(TRANSPOSE(N4:W11-N12:W12),(N4:W11-N12:W12))/COUNT(M4:M11)</f>
        <v>0.37340699999999993</v>
      </c>
      <c r="N16" s="53">
        <v>0.19057387499999998</v>
      </c>
      <c r="O16" s="53">
        <v>0.14689325000000003</v>
      </c>
      <c r="P16" s="53">
        <v>0.41982712499999991</v>
      </c>
      <c r="Q16" s="53">
        <v>8.6793749999999927E-3</v>
      </c>
      <c r="R16" s="53">
        <v>0.46603426249999991</v>
      </c>
      <c r="S16" s="53">
        <v>0.12178249999999999</v>
      </c>
      <c r="T16" s="53">
        <v>0.17739575000000002</v>
      </c>
      <c r="U16" s="53">
        <v>9.2418125000000004E-2</v>
      </c>
      <c r="V16" s="53">
        <v>0.4217765</v>
      </c>
    </row>
    <row r="17" spans="1:22" ht="18" customHeight="1" x14ac:dyDescent="0.25">
      <c r="A17" s="14"/>
      <c r="B17" s="16"/>
      <c r="C17" s="16"/>
      <c r="D17" s="16"/>
      <c r="E17" s="16"/>
      <c r="F17" s="16"/>
      <c r="G17" s="16"/>
      <c r="H17" s="16"/>
      <c r="I17" s="16"/>
      <c r="J17" s="17"/>
      <c r="M17" s="53">
        <v>0.19057387499999998</v>
      </c>
      <c r="N17" s="53">
        <v>0.13926949999999999</v>
      </c>
      <c r="O17" s="53">
        <v>8.9957500000000024E-2</v>
      </c>
      <c r="P17" s="53">
        <v>0.27529149999999991</v>
      </c>
      <c r="Q17" s="53">
        <v>-3.4736499999999997E-2</v>
      </c>
      <c r="R17" s="53">
        <v>0.28961527499999995</v>
      </c>
      <c r="S17" s="53">
        <v>8.2770375000000007E-2</v>
      </c>
      <c r="T17" s="53">
        <v>0.114451</v>
      </c>
      <c r="U17" s="53">
        <v>7.2901624999999984E-2</v>
      </c>
      <c r="V17" s="53">
        <v>0.33922237500000002</v>
      </c>
    </row>
    <row r="18" spans="1:22" ht="18" customHeight="1" x14ac:dyDescent="0.25">
      <c r="A18" s="14" t="s">
        <v>97</v>
      </c>
      <c r="B18" s="16"/>
      <c r="C18" s="16"/>
      <c r="D18" s="16"/>
      <c r="E18" s="16"/>
      <c r="F18" s="16"/>
      <c r="G18" s="16"/>
      <c r="H18" s="16"/>
      <c r="I18" s="16"/>
      <c r="J18" s="17"/>
      <c r="M18" s="53">
        <v>0.14689325000000003</v>
      </c>
      <c r="N18" s="53">
        <v>8.9957500000000024E-2</v>
      </c>
      <c r="O18" s="53">
        <v>0.108925734375</v>
      </c>
      <c r="P18" s="53">
        <v>0.18899140624999999</v>
      </c>
      <c r="Q18" s="53">
        <v>3.3965468749999998E-3</v>
      </c>
      <c r="R18" s="53">
        <v>0.16153701718750002</v>
      </c>
      <c r="S18" s="53">
        <v>8.9570312499999999E-2</v>
      </c>
      <c r="T18" s="53">
        <v>0.147084515625</v>
      </c>
      <c r="U18" s="53">
        <v>8.4775515624999992E-2</v>
      </c>
      <c r="V18" s="53">
        <v>0.1901465</v>
      </c>
    </row>
    <row r="19" spans="1:22" ht="18" customHeight="1" x14ac:dyDescent="0.25">
      <c r="A19" s="59">
        <f t="array" ref="A19:D23">A5:D9+F5:I9</f>
        <v>3</v>
      </c>
      <c r="B19" s="56">
        <v>5</v>
      </c>
      <c r="C19" s="56">
        <v>8</v>
      </c>
      <c r="D19" s="56">
        <v>8</v>
      </c>
      <c r="E19" s="16"/>
      <c r="F19" s="16"/>
      <c r="G19" s="16"/>
      <c r="H19" s="16"/>
      <c r="I19" s="16"/>
      <c r="J19" s="17"/>
      <c r="M19" s="53">
        <v>0.41982712499999991</v>
      </c>
      <c r="N19" s="53">
        <v>0.27529149999999991</v>
      </c>
      <c r="O19" s="53">
        <v>0.18899140624999999</v>
      </c>
      <c r="P19" s="53">
        <v>0.61972393749999988</v>
      </c>
      <c r="Q19" s="53">
        <v>-1.8095843750000014E-2</v>
      </c>
      <c r="R19" s="53">
        <v>0.58497156562499986</v>
      </c>
      <c r="S19" s="53">
        <v>0.18254474999999998</v>
      </c>
      <c r="T19" s="53">
        <v>0.21086884374999995</v>
      </c>
      <c r="U19" s="53">
        <v>9.9873218749999992E-2</v>
      </c>
      <c r="V19" s="53">
        <v>0.70169937500000001</v>
      </c>
    </row>
    <row r="20" spans="1:22" ht="18" customHeight="1" x14ac:dyDescent="0.25">
      <c r="A20" s="59">
        <v>8</v>
      </c>
      <c r="B20" s="56">
        <v>8</v>
      </c>
      <c r="C20" s="56">
        <v>8</v>
      </c>
      <c r="D20" s="56">
        <v>2</v>
      </c>
      <c r="E20" s="16"/>
      <c r="F20" s="16"/>
      <c r="G20" s="16"/>
      <c r="H20" s="16"/>
      <c r="I20" s="16"/>
      <c r="J20" s="17"/>
      <c r="M20" s="53">
        <v>8.6793749999999927E-3</v>
      </c>
      <c r="N20" s="53">
        <v>-3.4736499999999997E-2</v>
      </c>
      <c r="O20" s="53">
        <v>3.3965468749999998E-3</v>
      </c>
      <c r="P20" s="53">
        <v>-1.8095843750000014E-2</v>
      </c>
      <c r="Q20" s="53">
        <v>5.6354359374999996E-2</v>
      </c>
      <c r="R20" s="53">
        <v>-6.5289776562499999E-2</v>
      </c>
      <c r="S20" s="53">
        <v>1.524187499999996E-3</v>
      </c>
      <c r="T20" s="53">
        <v>-9.2830468750000131E-3</v>
      </c>
      <c r="U20" s="53">
        <v>-3.3376671875000014E-2</v>
      </c>
      <c r="V20" s="53">
        <v>-0.10421450000000002</v>
      </c>
    </row>
    <row r="21" spans="1:22" ht="18" customHeight="1" x14ac:dyDescent="0.25">
      <c r="A21" s="59">
        <v>2</v>
      </c>
      <c r="B21" s="56">
        <v>4</v>
      </c>
      <c r="C21" s="56">
        <v>4</v>
      </c>
      <c r="D21" s="56">
        <v>16</v>
      </c>
      <c r="E21" s="16"/>
      <c r="F21" s="16"/>
      <c r="G21" s="16"/>
      <c r="H21" s="16"/>
      <c r="I21" s="16"/>
      <c r="J21" s="17"/>
      <c r="M21" s="53">
        <v>0.46603426249999991</v>
      </c>
      <c r="N21" s="53">
        <v>0.28961527499999995</v>
      </c>
      <c r="O21" s="53">
        <v>0.16153701718750002</v>
      </c>
      <c r="P21" s="53">
        <v>0.58497156562499986</v>
      </c>
      <c r="Q21" s="53">
        <v>-6.5289776562499999E-2</v>
      </c>
      <c r="R21" s="53">
        <v>0.87448850109374976</v>
      </c>
      <c r="S21" s="53">
        <v>0.21600599375000001</v>
      </c>
      <c r="T21" s="53">
        <v>0.2159521828125</v>
      </c>
      <c r="U21" s="53">
        <v>0.14115362031250003</v>
      </c>
      <c r="V21" s="53">
        <v>0.84694547500000006</v>
      </c>
    </row>
    <row r="22" spans="1:22" ht="18" customHeight="1" x14ac:dyDescent="0.25">
      <c r="A22" s="59">
        <v>3</v>
      </c>
      <c r="B22" s="56">
        <v>5</v>
      </c>
      <c r="C22" s="56">
        <v>3</v>
      </c>
      <c r="D22" s="56">
        <v>5</v>
      </c>
      <c r="E22" s="16"/>
      <c r="F22" s="16"/>
      <c r="G22" s="16"/>
      <c r="H22" s="16"/>
      <c r="I22" s="16"/>
      <c r="J22" s="17"/>
      <c r="M22" s="53">
        <v>0.12178249999999999</v>
      </c>
      <c r="N22" s="53">
        <v>8.2770375000000007E-2</v>
      </c>
      <c r="O22" s="53">
        <v>8.9570312499999999E-2</v>
      </c>
      <c r="P22" s="53">
        <v>0.18254474999999998</v>
      </c>
      <c r="Q22" s="53">
        <v>1.524187499999996E-3</v>
      </c>
      <c r="R22" s="53">
        <v>0.21600599375000001</v>
      </c>
      <c r="S22" s="53">
        <v>0.1211845</v>
      </c>
      <c r="T22" s="53">
        <v>0.1293895625</v>
      </c>
      <c r="U22" s="53">
        <v>6.1723187499999999E-2</v>
      </c>
      <c r="V22" s="53">
        <v>0.22639375</v>
      </c>
    </row>
    <row r="23" spans="1:22" ht="18" customHeight="1" x14ac:dyDescent="0.25">
      <c r="A23" s="59">
        <v>2</v>
      </c>
      <c r="B23" s="56">
        <v>12</v>
      </c>
      <c r="C23" s="56">
        <v>12</v>
      </c>
      <c r="D23" s="56">
        <v>6</v>
      </c>
      <c r="E23" s="16"/>
      <c r="F23" s="16"/>
      <c r="G23" s="16"/>
      <c r="H23" s="16"/>
      <c r="I23" s="16"/>
      <c r="J23" s="17"/>
      <c r="M23" s="53">
        <v>0.17739575000000002</v>
      </c>
      <c r="N23" s="53">
        <v>0.114451</v>
      </c>
      <c r="O23" s="53">
        <v>0.147084515625</v>
      </c>
      <c r="P23" s="53">
        <v>0.21086884374999995</v>
      </c>
      <c r="Q23" s="53">
        <v>-9.2830468750000131E-3</v>
      </c>
      <c r="R23" s="53">
        <v>0.2159521828125</v>
      </c>
      <c r="S23" s="53">
        <v>0.1293895625</v>
      </c>
      <c r="T23" s="53">
        <v>0.22376523437500001</v>
      </c>
      <c r="U23" s="53">
        <v>0.12879623437499998</v>
      </c>
      <c r="V23" s="53">
        <v>0.21466349999999995</v>
      </c>
    </row>
    <row r="24" spans="1:22" ht="18" customHeight="1" x14ac:dyDescent="0.25">
      <c r="A24" s="14"/>
      <c r="B24" s="16"/>
      <c r="C24" s="16"/>
      <c r="D24" s="16"/>
      <c r="E24" s="16"/>
      <c r="F24" s="16"/>
      <c r="G24" s="16"/>
      <c r="H24" s="16"/>
      <c r="I24" s="16"/>
      <c r="J24" s="17"/>
      <c r="M24" s="53">
        <v>9.2418125000000004E-2</v>
      </c>
      <c r="N24" s="53">
        <v>7.2901624999999984E-2</v>
      </c>
      <c r="O24" s="53">
        <v>8.4775515624999992E-2</v>
      </c>
      <c r="P24" s="53">
        <v>9.9873218749999992E-2</v>
      </c>
      <c r="Q24" s="53">
        <v>-3.3376671875000014E-2</v>
      </c>
      <c r="R24" s="53">
        <v>0.14115362031250003</v>
      </c>
      <c r="S24" s="53">
        <v>6.1723187499999999E-2</v>
      </c>
      <c r="T24" s="53">
        <v>0.12879623437499998</v>
      </c>
      <c r="U24" s="53">
        <v>0.11767298437500003</v>
      </c>
      <c r="V24" s="53">
        <v>0.16805187499999999</v>
      </c>
    </row>
    <row r="25" spans="1:22" ht="18" customHeight="1" x14ac:dyDescent="0.25">
      <c r="A25" s="14" t="s">
        <v>98</v>
      </c>
      <c r="B25" s="16"/>
      <c r="C25" s="16"/>
      <c r="D25" s="16"/>
      <c r="E25" s="16"/>
      <c r="F25" s="16"/>
      <c r="G25" s="16"/>
      <c r="H25" s="16"/>
      <c r="I25" s="16"/>
      <c r="J25" s="17"/>
      <c r="M25" s="53">
        <v>0.4217765</v>
      </c>
      <c r="N25" s="53">
        <v>0.33922237500000002</v>
      </c>
      <c r="O25" s="53">
        <v>0.1901465</v>
      </c>
      <c r="P25" s="53">
        <v>0.70169937500000001</v>
      </c>
      <c r="Q25" s="53">
        <v>-0.10421450000000002</v>
      </c>
      <c r="R25" s="53">
        <v>0.84694547500000006</v>
      </c>
      <c r="S25" s="53">
        <v>0.22639375</v>
      </c>
      <c r="T25" s="53">
        <v>0.21466349999999995</v>
      </c>
      <c r="U25" s="53">
        <v>0.16805187499999999</v>
      </c>
      <c r="V25" s="53">
        <v>1.0912245</v>
      </c>
    </row>
    <row r="26" spans="1:22" ht="18" customHeight="1" x14ac:dyDescent="0.25">
      <c r="A26" s="14" t="s">
        <v>75</v>
      </c>
      <c r="B26" s="57">
        <f t="array" ref="B26:F29">TRANSPOSE(A5:D9)</f>
        <v>2</v>
      </c>
      <c r="C26" s="57">
        <v>3</v>
      </c>
      <c r="D26" s="57">
        <v>1</v>
      </c>
      <c r="E26" s="57">
        <v>1</v>
      </c>
      <c r="F26" s="57">
        <v>2</v>
      </c>
      <c r="G26" s="16"/>
      <c r="H26" s="16"/>
      <c r="I26" s="16"/>
      <c r="J26" s="17"/>
    </row>
    <row r="27" spans="1:22" ht="18" customHeight="1" x14ac:dyDescent="0.25">
      <c r="A27" s="14"/>
      <c r="B27" s="57">
        <v>1</v>
      </c>
      <c r="C27" s="57">
        <v>1</v>
      </c>
      <c r="D27" s="57">
        <v>2</v>
      </c>
      <c r="E27" s="57">
        <v>2</v>
      </c>
      <c r="F27" s="57">
        <v>4</v>
      </c>
      <c r="G27" s="16"/>
      <c r="H27" s="16"/>
      <c r="I27" s="16"/>
      <c r="J27" s="17"/>
    </row>
    <row r="28" spans="1:22" ht="18" customHeight="1" x14ac:dyDescent="0.25">
      <c r="A28" s="14"/>
      <c r="B28" s="57">
        <v>3</v>
      </c>
      <c r="C28" s="57">
        <v>5</v>
      </c>
      <c r="D28" s="57">
        <v>1</v>
      </c>
      <c r="E28" s="57">
        <v>2</v>
      </c>
      <c r="F28" s="57">
        <v>5</v>
      </c>
      <c r="G28" s="16"/>
      <c r="H28" s="16"/>
      <c r="I28" s="16"/>
      <c r="J28" s="17"/>
    </row>
    <row r="29" spans="1:22" ht="18" customHeight="1" x14ac:dyDescent="0.25">
      <c r="A29" s="14"/>
      <c r="B29" s="57">
        <v>2</v>
      </c>
      <c r="C29" s="57">
        <v>1</v>
      </c>
      <c r="D29" s="57">
        <v>8</v>
      </c>
      <c r="E29" s="57">
        <v>0</v>
      </c>
      <c r="F29" s="57">
        <v>5</v>
      </c>
      <c r="G29" s="16"/>
      <c r="H29" s="16"/>
      <c r="I29" s="16"/>
      <c r="J29" s="17"/>
    </row>
    <row r="30" spans="1:22" ht="18" customHeight="1" x14ac:dyDescent="0.25">
      <c r="A30" s="14"/>
      <c r="B30" s="16"/>
      <c r="C30" s="16"/>
      <c r="D30" s="16"/>
      <c r="E30" s="16"/>
      <c r="F30" s="16"/>
      <c r="G30" s="16"/>
      <c r="H30" s="16"/>
      <c r="I30" s="16"/>
      <c r="J30" s="17"/>
    </row>
    <row r="31" spans="1:22" ht="18" customHeight="1" x14ac:dyDescent="0.25">
      <c r="A31" s="14" t="s">
        <v>77</v>
      </c>
      <c r="B31" s="57">
        <f t="array" ref="B31:F34">TRANSPOSE(F5:I9)</f>
        <v>1</v>
      </c>
      <c r="C31" s="57">
        <v>5</v>
      </c>
      <c r="D31" s="57">
        <v>1</v>
      </c>
      <c r="E31" s="57">
        <v>2</v>
      </c>
      <c r="F31" s="57">
        <v>0</v>
      </c>
      <c r="G31" s="16"/>
      <c r="H31" s="16"/>
      <c r="I31" s="16"/>
      <c r="J31" s="17"/>
    </row>
    <row r="32" spans="1:22" ht="18" customHeight="1" x14ac:dyDescent="0.25">
      <c r="A32" s="14"/>
      <c r="B32" s="57">
        <v>4</v>
      </c>
      <c r="C32" s="57">
        <v>7</v>
      </c>
      <c r="D32" s="57">
        <v>2</v>
      </c>
      <c r="E32" s="57">
        <v>3</v>
      </c>
      <c r="F32" s="57">
        <v>8</v>
      </c>
      <c r="G32" s="16"/>
      <c r="H32" s="16"/>
      <c r="I32" s="16"/>
      <c r="J32" s="17"/>
    </row>
    <row r="33" spans="1:10" ht="18" customHeight="1" x14ac:dyDescent="0.25">
      <c r="A33" s="14"/>
      <c r="B33" s="57">
        <v>5</v>
      </c>
      <c r="C33" s="57">
        <v>3</v>
      </c>
      <c r="D33" s="57">
        <v>3</v>
      </c>
      <c r="E33" s="57">
        <v>1</v>
      </c>
      <c r="F33" s="57">
        <v>7</v>
      </c>
      <c r="G33" s="16"/>
      <c r="H33" s="16"/>
      <c r="I33" s="16"/>
      <c r="J33" s="17"/>
    </row>
    <row r="34" spans="1:10" ht="18" customHeight="1" x14ac:dyDescent="0.25">
      <c r="A34" s="14"/>
      <c r="B34" s="57">
        <v>6</v>
      </c>
      <c r="C34" s="57">
        <v>1</v>
      </c>
      <c r="D34" s="57">
        <v>8</v>
      </c>
      <c r="E34" s="57">
        <v>5</v>
      </c>
      <c r="F34" s="57">
        <v>1</v>
      </c>
      <c r="G34" s="16"/>
      <c r="H34" s="16"/>
      <c r="I34" s="16"/>
      <c r="J34" s="17"/>
    </row>
    <row r="35" spans="1:10" ht="18" customHeight="1" thickBot="1" x14ac:dyDescent="0.3">
      <c r="A35" s="22"/>
      <c r="B35" s="23"/>
      <c r="C35" s="23"/>
      <c r="D35" s="23"/>
      <c r="E35" s="23"/>
      <c r="F35" s="23"/>
      <c r="G35" s="23"/>
      <c r="H35" s="23"/>
      <c r="I35" s="23"/>
      <c r="J35" s="24"/>
    </row>
  </sheetData>
  <mergeCells count="1">
    <mergeCell ref="M2:X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1C0C-C974-45E8-A5E7-A48132BA1271}">
  <dimension ref="A1:AK32"/>
  <sheetViews>
    <sheetView tabSelected="1" workbookViewId="0">
      <selection activeCell="H29" sqref="H29"/>
    </sheetView>
  </sheetViews>
  <sheetFormatPr defaultRowHeight="15" x14ac:dyDescent="0.25"/>
  <cols>
    <col min="5" max="5" width="11.85546875" bestFit="1" customWidth="1"/>
  </cols>
  <sheetData>
    <row r="1" spans="1:37" ht="21" x14ac:dyDescent="0.35">
      <c r="A1" s="82" t="s">
        <v>118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  <c r="N1" s="82" t="s">
        <v>137</v>
      </c>
      <c r="O1" s="12"/>
      <c r="P1" s="12"/>
      <c r="Q1" s="12"/>
      <c r="R1" s="100" t="s">
        <v>138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3"/>
    </row>
    <row r="2" spans="1:37" x14ac:dyDescent="0.25">
      <c r="A2" s="83" t="s">
        <v>119</v>
      </c>
      <c r="B2" s="16">
        <v>5000</v>
      </c>
      <c r="C2" s="16"/>
      <c r="D2" s="16"/>
      <c r="E2" s="16"/>
      <c r="F2" s="16"/>
      <c r="G2" s="16"/>
      <c r="H2" s="16"/>
      <c r="I2" s="16"/>
      <c r="J2" s="16"/>
      <c r="K2" s="16"/>
      <c r="L2" s="17"/>
      <c r="N2" s="83" t="s">
        <v>119</v>
      </c>
      <c r="O2" s="16">
        <v>3000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7"/>
    </row>
    <row r="3" spans="1:37" x14ac:dyDescent="0.25">
      <c r="A3" s="83" t="s">
        <v>120</v>
      </c>
      <c r="B3" s="16" t="s">
        <v>121</v>
      </c>
      <c r="C3" s="16"/>
      <c r="D3" s="16"/>
      <c r="E3" s="16"/>
      <c r="F3" s="16"/>
      <c r="G3" s="16"/>
      <c r="H3" s="16"/>
      <c r="I3" s="16"/>
      <c r="J3" s="16"/>
      <c r="K3" s="16"/>
      <c r="L3" s="17"/>
      <c r="N3" s="83" t="s">
        <v>120</v>
      </c>
      <c r="O3" s="16" t="s">
        <v>121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</row>
    <row r="4" spans="1:37" x14ac:dyDescent="0.25">
      <c r="A4" s="14"/>
      <c r="B4" s="16"/>
      <c r="C4" s="84" t="s">
        <v>94</v>
      </c>
      <c r="D4" s="16"/>
      <c r="E4" s="16"/>
      <c r="F4" s="16"/>
      <c r="G4" s="16"/>
      <c r="H4" s="16"/>
      <c r="I4" s="16"/>
      <c r="J4" s="16"/>
      <c r="K4" s="16"/>
      <c r="L4" s="17"/>
      <c r="N4" s="14"/>
      <c r="O4" s="16"/>
      <c r="P4" s="84" t="s">
        <v>94</v>
      </c>
      <c r="Q4" s="16"/>
      <c r="R4" s="101" t="s">
        <v>139</v>
      </c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7"/>
    </row>
    <row r="5" spans="1:37" x14ac:dyDescent="0.25">
      <c r="A5" s="85" t="s">
        <v>122</v>
      </c>
      <c r="B5" s="86">
        <f>0.8*B2</f>
        <v>4000</v>
      </c>
      <c r="C5" s="86">
        <f>B5/$B$7</f>
        <v>0.8</v>
      </c>
      <c r="D5" s="16"/>
      <c r="E5" s="16"/>
      <c r="F5" s="16"/>
      <c r="G5" s="16"/>
      <c r="H5" s="16"/>
      <c r="I5" s="16"/>
      <c r="J5" s="16"/>
      <c r="K5" s="16"/>
      <c r="L5" s="17"/>
      <c r="N5" s="85" t="s">
        <v>122</v>
      </c>
      <c r="O5" s="86">
        <f>0.8*O2</f>
        <v>2400</v>
      </c>
      <c r="P5" s="86">
        <f>O5/$B$7</f>
        <v>0.48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7"/>
    </row>
    <row r="6" spans="1:37" x14ac:dyDescent="0.25">
      <c r="A6" s="85" t="s">
        <v>123</v>
      </c>
      <c r="B6" s="86">
        <f>0.2*B2</f>
        <v>1000</v>
      </c>
      <c r="C6" s="86">
        <f>B6/$B$7</f>
        <v>0.2</v>
      </c>
      <c r="D6" s="16"/>
      <c r="E6" s="16"/>
      <c r="F6" s="16"/>
      <c r="G6" s="16"/>
      <c r="H6" s="16"/>
      <c r="I6" s="16"/>
      <c r="J6" s="16"/>
      <c r="K6" s="16"/>
      <c r="L6" s="17"/>
      <c r="N6" s="85" t="s">
        <v>123</v>
      </c>
      <c r="O6" s="86">
        <f>0.2*O2</f>
        <v>600</v>
      </c>
      <c r="P6" s="86">
        <f>O6/$B$7</f>
        <v>0.12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7"/>
    </row>
    <row r="7" spans="1:37" x14ac:dyDescent="0.25">
      <c r="A7" s="87" t="s">
        <v>124</v>
      </c>
      <c r="B7" s="88">
        <f>SUM(B5:B6)</f>
        <v>5000</v>
      </c>
      <c r="C7" s="16"/>
      <c r="D7" s="16"/>
      <c r="E7" s="16"/>
      <c r="F7" s="16"/>
      <c r="G7" s="16"/>
      <c r="H7" s="16"/>
      <c r="I7" s="16"/>
      <c r="J7" s="16"/>
      <c r="K7" s="16"/>
      <c r="L7" s="17"/>
      <c r="N7" s="87" t="s">
        <v>124</v>
      </c>
      <c r="O7" s="88">
        <f>SUM(O5:O6)</f>
        <v>3000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7"/>
    </row>
    <row r="8" spans="1:37" ht="18.75" x14ac:dyDescent="0.3">
      <c r="A8" s="89" t="s">
        <v>125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7"/>
      <c r="N8" s="102" t="s">
        <v>140</v>
      </c>
      <c r="O8" s="99"/>
      <c r="P8" s="99"/>
      <c r="Q8" s="99"/>
      <c r="R8" s="99"/>
      <c r="S8" s="99"/>
      <c r="T8" s="99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103"/>
    </row>
    <row r="9" spans="1:37" x14ac:dyDescent="0.25">
      <c r="A9" s="14"/>
      <c r="B9" s="16"/>
      <c r="C9" s="84" t="s">
        <v>94</v>
      </c>
      <c r="D9" s="16"/>
      <c r="E9" s="16"/>
      <c r="F9" s="16"/>
      <c r="G9" s="16"/>
      <c r="H9" s="16"/>
      <c r="I9" s="16"/>
      <c r="J9" s="16"/>
      <c r="K9" s="16"/>
      <c r="L9" s="17"/>
      <c r="N9" s="14"/>
      <c r="O9" s="16"/>
      <c r="P9" s="84" t="s">
        <v>94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</row>
    <row r="10" spans="1:37" x14ac:dyDescent="0.25">
      <c r="A10" s="90" t="s">
        <v>122</v>
      </c>
      <c r="B10" s="19">
        <f>B5*1.2</f>
        <v>4800</v>
      </c>
      <c r="C10" s="19">
        <f>B10/$B$12</f>
        <v>0.82474226804123707</v>
      </c>
      <c r="D10" s="16"/>
      <c r="E10" s="16"/>
      <c r="F10" s="16"/>
      <c r="G10" s="16"/>
      <c r="H10" s="16"/>
      <c r="I10" s="16"/>
      <c r="J10" s="16"/>
      <c r="K10" s="16"/>
      <c r="L10" s="17"/>
      <c r="N10" s="90" t="s">
        <v>122</v>
      </c>
      <c r="O10" s="104">
        <f>O5*(1-0.61)</f>
        <v>936</v>
      </c>
      <c r="P10" s="19">
        <f>O10/$B$12</f>
        <v>0.16082474226804125</v>
      </c>
      <c r="Q10" s="16" t="s">
        <v>141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7"/>
    </row>
    <row r="11" spans="1:37" x14ac:dyDescent="0.25">
      <c r="A11" s="90" t="s">
        <v>123</v>
      </c>
      <c r="B11" s="19">
        <f>B6*1.02</f>
        <v>1020</v>
      </c>
      <c r="C11" s="19">
        <f>B11/$B$12</f>
        <v>0.17525773195876287</v>
      </c>
      <c r="D11" s="16"/>
      <c r="E11" s="16"/>
      <c r="F11" s="16"/>
      <c r="G11" s="16"/>
      <c r="H11" s="16"/>
      <c r="I11" s="16"/>
      <c r="J11" s="16"/>
      <c r="K11" s="16"/>
      <c r="L11" s="17"/>
      <c r="N11" s="90" t="s">
        <v>123</v>
      </c>
      <c r="O11" s="19">
        <f>O6*1.02</f>
        <v>612</v>
      </c>
      <c r="P11" s="19">
        <f>O11/$B$12</f>
        <v>0.10515463917525773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7"/>
    </row>
    <row r="12" spans="1:37" x14ac:dyDescent="0.25">
      <c r="A12" s="87" t="s">
        <v>126</v>
      </c>
      <c r="B12" s="88">
        <f>SUM(B10:B11)</f>
        <v>5820</v>
      </c>
      <c r="C12" s="16"/>
      <c r="D12" s="16"/>
      <c r="E12" s="16"/>
      <c r="F12" s="16"/>
      <c r="G12" s="16"/>
      <c r="H12" s="16"/>
      <c r="I12" s="16"/>
      <c r="J12" s="16"/>
      <c r="K12" s="16"/>
      <c r="L12" s="17"/>
      <c r="N12" s="87" t="s">
        <v>126</v>
      </c>
      <c r="O12" s="96">
        <f>SUM(O10:O11)</f>
        <v>1548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7"/>
    </row>
    <row r="13" spans="1:37" x14ac:dyDescent="0.25">
      <c r="A13" s="14"/>
      <c r="B13" s="16"/>
      <c r="C13" s="16"/>
      <c r="D13" s="16"/>
      <c r="E13" s="16"/>
      <c r="F13" s="16"/>
      <c r="G13" s="16"/>
      <c r="H13" s="16" t="s">
        <v>132</v>
      </c>
      <c r="I13" s="16"/>
      <c r="J13" s="16"/>
      <c r="K13" s="16"/>
      <c r="L13" s="17"/>
      <c r="N13" s="14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7"/>
    </row>
    <row r="14" spans="1:37" ht="18.75" x14ac:dyDescent="0.3">
      <c r="A14" s="91" t="s">
        <v>127</v>
      </c>
      <c r="B14" s="92"/>
      <c r="C14" s="84" t="s">
        <v>94</v>
      </c>
      <c r="D14" s="16"/>
      <c r="E14" s="16"/>
      <c r="F14" s="16"/>
      <c r="G14" s="16"/>
      <c r="H14" s="16" t="s">
        <v>133</v>
      </c>
      <c r="I14" s="16"/>
      <c r="J14" s="16"/>
      <c r="K14" s="16"/>
      <c r="L14" s="17"/>
      <c r="N14" s="91" t="s">
        <v>142</v>
      </c>
      <c r="O14" s="92"/>
      <c r="P14" s="84" t="s">
        <v>94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7"/>
    </row>
    <row r="15" spans="1:37" x14ac:dyDescent="0.25">
      <c r="A15" s="93" t="s">
        <v>122</v>
      </c>
      <c r="B15" s="94">
        <f>B10-E16</f>
        <v>4656.0000000001128</v>
      </c>
      <c r="C15" s="95">
        <f>B15/$B$12</f>
        <v>0.80000000000001936</v>
      </c>
      <c r="D15" s="76" t="s">
        <v>128</v>
      </c>
      <c r="E15" s="77">
        <f>B10-B15</f>
        <v>143.99999999988722</v>
      </c>
      <c r="F15" s="78" t="s">
        <v>129</v>
      </c>
      <c r="G15" s="16"/>
      <c r="H15" s="16" t="s">
        <v>134</v>
      </c>
      <c r="I15" s="16"/>
      <c r="J15" s="16"/>
      <c r="K15" s="16"/>
      <c r="L15" s="17"/>
      <c r="N15" s="93" t="s">
        <v>122</v>
      </c>
      <c r="O15" s="105">
        <v>1238.400936</v>
      </c>
      <c r="P15" s="95">
        <f>O15/$B$12</f>
        <v>0.21278366597938145</v>
      </c>
      <c r="Q15" s="76" t="s">
        <v>130</v>
      </c>
      <c r="R15" s="77">
        <f>O15-O10</f>
        <v>302.400936</v>
      </c>
      <c r="S15" s="78" t="s">
        <v>143</v>
      </c>
      <c r="T15" s="16"/>
      <c r="U15" s="106" t="s">
        <v>144</v>
      </c>
      <c r="V15" s="16"/>
      <c r="W15" s="16"/>
      <c r="X15" s="16"/>
      <c r="Y15" s="16" t="s">
        <v>145</v>
      </c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7"/>
    </row>
    <row r="16" spans="1:37" x14ac:dyDescent="0.25">
      <c r="A16" s="93" t="s">
        <v>123</v>
      </c>
      <c r="B16" s="94">
        <v>1163.999999999887</v>
      </c>
      <c r="C16" s="95">
        <f>B16/$B$12</f>
        <v>0.19999999999998058</v>
      </c>
      <c r="D16" s="79" t="s">
        <v>130</v>
      </c>
      <c r="E16" s="80">
        <f>B16-B11</f>
        <v>143.999999999887</v>
      </c>
      <c r="F16" s="81" t="s">
        <v>131</v>
      </c>
      <c r="G16" s="16"/>
      <c r="H16" s="16" t="s">
        <v>135</v>
      </c>
      <c r="I16" s="16"/>
      <c r="J16" s="16"/>
      <c r="K16" s="16"/>
      <c r="L16" s="17"/>
      <c r="N16" s="93" t="s">
        <v>123</v>
      </c>
      <c r="O16" s="105">
        <f>O11-(O15-O10)</f>
        <v>309.599064</v>
      </c>
      <c r="P16" s="95">
        <f>O16/$B$12</f>
        <v>5.3195715463917527E-2</v>
      </c>
      <c r="Q16" s="79" t="s">
        <v>128</v>
      </c>
      <c r="R16" s="80">
        <f>O16-O11</f>
        <v>-302.400936</v>
      </c>
      <c r="S16" s="81" t="s">
        <v>146</v>
      </c>
      <c r="T16" s="16"/>
      <c r="U16" s="106" t="s">
        <v>147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7"/>
    </row>
    <row r="17" spans="1:37" x14ac:dyDescent="0.25">
      <c r="A17" s="87" t="s">
        <v>126</v>
      </c>
      <c r="B17" s="96">
        <f>SUM(B15:B16)</f>
        <v>5820</v>
      </c>
      <c r="C17" s="16"/>
      <c r="D17" s="16"/>
      <c r="E17" s="16"/>
      <c r="F17" s="16"/>
      <c r="G17" s="16"/>
      <c r="H17" s="26" t="s">
        <v>136</v>
      </c>
      <c r="I17" s="16"/>
      <c r="J17" s="16"/>
      <c r="K17" s="16"/>
      <c r="L17" s="17"/>
      <c r="N17" s="87" t="s">
        <v>126</v>
      </c>
      <c r="O17" s="96">
        <f>SUM(O15:O16)</f>
        <v>1548</v>
      </c>
      <c r="P17" s="16"/>
      <c r="Q17" s="16"/>
      <c r="R17" s="16"/>
      <c r="S17" s="16"/>
      <c r="T17" s="16"/>
      <c r="U17" s="106" t="s">
        <v>148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7"/>
    </row>
    <row r="18" spans="1:37" x14ac:dyDescent="0.25">
      <c r="A18" s="14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  <c r="N18" s="14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7"/>
    </row>
    <row r="19" spans="1:37" x14ac:dyDescent="0.25">
      <c r="A19" s="97" t="s">
        <v>33</v>
      </c>
      <c r="B19" s="98">
        <f>(B12-B7)/B7</f>
        <v>0.16400000000000001</v>
      </c>
      <c r="C19" s="16"/>
      <c r="D19" s="16"/>
      <c r="E19" s="16"/>
      <c r="F19" s="16"/>
      <c r="G19" s="16"/>
      <c r="H19" s="16"/>
      <c r="I19" s="16"/>
      <c r="J19" s="16"/>
      <c r="K19" s="16"/>
      <c r="L19" s="17"/>
      <c r="N19" s="97" t="s">
        <v>33</v>
      </c>
      <c r="O19" s="98">
        <f>(O12-O7)/O7</f>
        <v>-0.48399999999999999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7"/>
    </row>
    <row r="20" spans="1:37" x14ac:dyDescent="0.25">
      <c r="A20" s="14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7"/>
      <c r="N20" s="14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7"/>
    </row>
    <row r="21" spans="1:37" x14ac:dyDescent="0.25">
      <c r="A21" s="14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7"/>
      <c r="N21" s="14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7"/>
    </row>
    <row r="22" spans="1:37" x14ac:dyDescent="0.25">
      <c r="A22" s="14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7"/>
      <c r="N22" s="14" t="s">
        <v>149</v>
      </c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7"/>
    </row>
    <row r="23" spans="1:37" x14ac:dyDescent="0.25">
      <c r="A23" s="14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14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7"/>
    </row>
    <row r="24" spans="1:37" ht="15.75" thickBot="1" x14ac:dyDescent="0.3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4"/>
      <c r="N24" s="93" t="s">
        <v>122</v>
      </c>
      <c r="O24" s="105">
        <v>2684.2079999999992</v>
      </c>
      <c r="P24" s="95" t="e">
        <f>O24/$B$26</f>
        <v>#DIV/0!</v>
      </c>
      <c r="Q24" s="16" t="s">
        <v>150</v>
      </c>
      <c r="R24" s="16"/>
      <c r="S24" s="39">
        <f>(O24-O15)/O15</f>
        <v>1.1674789819441795</v>
      </c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7"/>
    </row>
    <row r="25" spans="1:37" x14ac:dyDescent="0.25">
      <c r="N25" s="93" t="s">
        <v>123</v>
      </c>
      <c r="O25" s="105">
        <f>O16*1.02</f>
        <v>315.79104527999999</v>
      </c>
      <c r="P25" s="95" t="e">
        <f>O25/$B$26</f>
        <v>#DIV/0!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7"/>
    </row>
    <row r="26" spans="1:37" x14ac:dyDescent="0.25">
      <c r="N26" s="87" t="s">
        <v>126</v>
      </c>
      <c r="O26" s="96">
        <f>SUM(O24:O25)</f>
        <v>2999.9990452799993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7"/>
    </row>
    <row r="27" spans="1:37" x14ac:dyDescent="0.25">
      <c r="N27" s="14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7"/>
    </row>
    <row r="28" spans="1:37" x14ac:dyDescent="0.25">
      <c r="N28" s="14" t="s">
        <v>151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7"/>
    </row>
    <row r="29" spans="1:37" x14ac:dyDescent="0.25">
      <c r="N29" s="93" t="s">
        <v>122</v>
      </c>
      <c r="O29" s="105">
        <v>3684.2079999999992</v>
      </c>
      <c r="P29" s="95" t="e">
        <f>O29/$B$31</f>
        <v>#DIV/0!</v>
      </c>
      <c r="Q29" s="16" t="s">
        <v>150</v>
      </c>
      <c r="R29" s="16"/>
      <c r="S29" s="39">
        <f>(O29-O15)/O15</f>
        <v>1.9749719116814355</v>
      </c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7"/>
    </row>
    <row r="30" spans="1:37" x14ac:dyDescent="0.25">
      <c r="N30" s="93" t="s">
        <v>123</v>
      </c>
      <c r="O30" s="105">
        <f>O25</f>
        <v>315.79104527999999</v>
      </c>
      <c r="P30" s="95" t="e">
        <f>O30/$B$31</f>
        <v>#DIV/0!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7"/>
    </row>
    <row r="31" spans="1:37" x14ac:dyDescent="0.25">
      <c r="N31" s="87" t="s">
        <v>126</v>
      </c>
      <c r="O31" s="96">
        <f>SUM(O29:O30)</f>
        <v>3999.9990452799993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7"/>
    </row>
    <row r="32" spans="1:37" ht="15.75" thickBot="1" x14ac:dyDescent="0.3">
      <c r="N32" s="22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4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 Basics</vt:lpstr>
      <vt:lpstr>Matrix Algebra</vt:lpstr>
      <vt:lpstr>SAA_TAA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2018-03-08T03:00:14Z</dcterms:modified>
</cp:coreProperties>
</file>