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avocado\Desktop\Rutgers\Spring 2018\Portfolio Theory\excels\"/>
    </mc:Choice>
  </mc:AlternateContent>
  <xr:revisionPtr revIDLastSave="0" documentId="13_ncr:1_{B876245B-7BB9-424E-9D74-BD6FBC410E35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Indexing" sheetId="1" r:id="rId1"/>
    <sheet name="SAA" sheetId="2" r:id="rId2"/>
    <sheet name="TAA" sheetId="3" r:id="rId3"/>
  </sheets>
  <definedNames>
    <definedName name="solver_adj" localSheetId="1" hidden="1">SAA!$B$16</definedName>
    <definedName name="solver_adj" localSheetId="2" hidden="1">TAA!$B$15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2" hidden="1">TAA!$B$17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2</definedName>
    <definedName name="solver_neg" localSheetId="2" hidden="1">2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SAA!$C$16</definedName>
    <definedName name="solver_opt" localSheetId="2" hidden="1">TAA!$C$15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2" hidden="1">2</definedName>
    <definedName name="solver_rhs1" localSheetId="2" hidden="1">1530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3</definedName>
    <definedName name="solver_typ" localSheetId="2" hidden="1">3</definedName>
    <definedName name="solver_val" localSheetId="1" hidden="1">0.2</definedName>
    <definedName name="solver_val" localSheetId="2" hidden="1">0.8</definedName>
    <definedName name="solver_ver" localSheetId="1" hidden="1">3</definedName>
    <definedName name="solver_ver" localSheetId="2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C34" i="1"/>
  <c r="E24" i="1"/>
  <c r="D24" i="1"/>
  <c r="H18" i="1"/>
  <c r="I18" i="1"/>
  <c r="F18" i="1"/>
  <c r="F24" i="3" l="1"/>
  <c r="F29" i="3" l="1"/>
  <c r="B6" i="3" l="1"/>
  <c r="B11" i="3" s="1"/>
  <c r="B5" i="3"/>
  <c r="B10" i="3" s="1"/>
  <c r="E15" i="3" s="1"/>
  <c r="B6" i="2"/>
  <c r="B11" i="2" s="1"/>
  <c r="E16" i="2" s="1"/>
  <c r="B5" i="2"/>
  <c r="B16" i="3" l="1"/>
  <c r="B7" i="2"/>
  <c r="C5" i="2" s="1"/>
  <c r="B10" i="2"/>
  <c r="B12" i="2" s="1"/>
  <c r="B19" i="2" s="1"/>
  <c r="B12" i="3"/>
  <c r="B7" i="3"/>
  <c r="C5" i="3" s="1"/>
  <c r="C6" i="3"/>
  <c r="C6" i="2"/>
  <c r="C35" i="1"/>
  <c r="C36" i="1"/>
  <c r="B36" i="1"/>
  <c r="B35" i="1"/>
  <c r="D35" i="1" s="1"/>
  <c r="B34" i="1"/>
  <c r="D34" i="1" s="1"/>
  <c r="B32" i="1"/>
  <c r="C23" i="1"/>
  <c r="D20" i="1"/>
  <c r="D26" i="1" s="1"/>
  <c r="D19" i="1"/>
  <c r="D25" i="1" s="1"/>
  <c r="D18" i="1"/>
  <c r="K8" i="1"/>
  <c r="K10" i="1" s="1"/>
  <c r="D7" i="1"/>
  <c r="D6" i="1"/>
  <c r="D5" i="1"/>
  <c r="D36" i="1" l="1"/>
  <c r="B19" i="3"/>
  <c r="C15" i="3"/>
  <c r="B15" i="2"/>
  <c r="B17" i="2" s="1"/>
  <c r="E16" i="3"/>
  <c r="C16" i="3"/>
  <c r="B25" i="3"/>
  <c r="B17" i="3"/>
  <c r="C10" i="3"/>
  <c r="C11" i="3"/>
  <c r="N6" i="1"/>
  <c r="N5" i="1"/>
  <c r="N7" i="1"/>
  <c r="C16" i="2"/>
  <c r="C15" i="2"/>
  <c r="C10" i="2"/>
  <c r="C11" i="2"/>
  <c r="D37" i="1"/>
  <c r="D8" i="1"/>
  <c r="B30" i="3" l="1"/>
  <c r="B31" i="3" s="1"/>
  <c r="B26" i="3"/>
  <c r="C24" i="3" s="1"/>
  <c r="C25" i="3"/>
  <c r="E35" i="1"/>
  <c r="B39" i="1"/>
  <c r="E15" i="2"/>
  <c r="D9" i="1"/>
  <c r="D10" i="1" s="1"/>
  <c r="E7" i="1"/>
  <c r="A20" i="1" s="1"/>
  <c r="E36" i="1"/>
  <c r="E5" i="1"/>
  <c r="A18" i="1" s="1"/>
  <c r="E6" i="1"/>
  <c r="A19" i="1" s="1"/>
  <c r="C18" i="1" l="1"/>
  <c r="C19" i="1"/>
  <c r="F19" i="1" s="1"/>
  <c r="I19" i="1"/>
  <c r="C20" i="1"/>
  <c r="F20" i="1" s="1"/>
  <c r="I20" i="1"/>
  <c r="D38" i="1"/>
  <c r="C30" i="3"/>
  <c r="C29" i="3"/>
  <c r="C25" i="1"/>
  <c r="E25" i="1" s="1"/>
  <c r="H19" i="1"/>
  <c r="C26" i="1"/>
  <c r="E26" i="1" s="1"/>
  <c r="H20" i="1"/>
  <c r="C24" i="1" l="1"/>
  <c r="J20" i="1"/>
  <c r="I26" i="1"/>
  <c r="J19" i="1"/>
  <c r="I25" i="1"/>
  <c r="B41" i="1"/>
  <c r="B40" i="1"/>
  <c r="I24" i="1"/>
  <c r="J18" i="1"/>
  <c r="I21" i="1"/>
  <c r="H21" i="1"/>
  <c r="E27" i="1"/>
  <c r="I27" i="1" l="1"/>
  <c r="J27" i="1" s="1"/>
  <c r="B28" i="1"/>
  <c r="F25" i="1"/>
  <c r="F26" i="1"/>
  <c r="F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</author>
    <author>HP</author>
  </authors>
  <commentList>
    <comment ref="C4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For Yahoo Finance data source this can be found under Key Statistics
</t>
        </r>
      </text>
    </comment>
    <comment ref="L4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Not needed for a price weighted
</t>
        </r>
      </text>
    </comment>
    <comment ref="F17" authorId="1" shapeId="0" xr:uid="{26D2C169-6AC2-4B5D-8FA5-706EF195597C}">
      <text>
        <r>
          <rPr>
            <b/>
            <sz val="9"/>
            <color indexed="81"/>
            <rFont val="Tahoma"/>
            <family val="2"/>
          </rPr>
          <t>(weights*1mill$)/MktPrice</t>
        </r>
      </text>
    </comment>
    <comment ref="D24" authorId="1" shapeId="0" xr:uid="{FBBCC6F3-7B61-42E7-B683-C1CA2DC81CA8}">
      <text>
        <r>
          <rPr>
            <b/>
            <sz val="9"/>
            <color indexed="81"/>
            <rFont val="Tahoma"/>
            <family val="2"/>
          </rPr>
          <t>(New MktPrice-Old MktPrice)/Old MktPrice</t>
        </r>
      </text>
    </comment>
    <comment ref="C33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
Yahoo finance Key stats
</t>
        </r>
      </text>
    </comment>
    <comment ref="D34" authorId="1" shapeId="0" xr:uid="{B14C33E5-035F-430A-81C7-DAED6698183B}">
      <text>
        <r>
          <rPr>
            <b/>
            <sz val="9"/>
            <color indexed="81"/>
            <rFont val="Tahoma"/>
            <family val="2"/>
          </rPr>
          <t xml:space="preserve">Shares*StkPrice
</t>
        </r>
      </text>
    </comment>
    <comment ref="E34" authorId="1" shapeId="0" xr:uid="{94DFFF7B-6A34-4A54-83CA-5D6E64F17B5C}">
      <text>
        <r>
          <rPr>
            <b/>
            <sz val="9"/>
            <color indexed="81"/>
            <rFont val="Tahoma"/>
            <family val="2"/>
          </rPr>
          <t xml:space="preserve">MktCap/TotalMktCap
</t>
        </r>
      </text>
    </comment>
  </commentList>
</comments>
</file>

<file path=xl/sharedStrings.xml><?xml version="1.0" encoding="utf-8"?>
<sst xmlns="http://schemas.openxmlformats.org/spreadsheetml/2006/main" count="144" uniqueCount="87">
  <si>
    <t>Company</t>
  </si>
  <si>
    <t>Stock price</t>
  </si>
  <si>
    <t xml:space="preserve">Shares o/s </t>
  </si>
  <si>
    <t>Market cap</t>
  </si>
  <si>
    <t>Weight</t>
  </si>
  <si>
    <t>total value of the index</t>
  </si>
  <si>
    <t>Index divisor</t>
  </si>
  <si>
    <t>?</t>
  </si>
  <si>
    <t>Index =</t>
  </si>
  <si>
    <t>Allocate</t>
  </si>
  <si>
    <t>Mkt Price</t>
  </si>
  <si>
    <t># shares</t>
  </si>
  <si>
    <t>portfolio</t>
  </si>
  <si>
    <t>Buy every stock in the index with same weights as index</t>
  </si>
  <si>
    <t>Mkt price</t>
  </si>
  <si>
    <t>portfolio return =</t>
  </si>
  <si>
    <t xml:space="preserve">Allocate </t>
  </si>
  <si>
    <t xml:space="preserve">purchase </t>
  </si>
  <si>
    <t>shares</t>
  </si>
  <si>
    <t xml:space="preserve">Buy shares in a mutual fund/ETF that tracks the index </t>
  </si>
  <si>
    <t>=</t>
  </si>
  <si>
    <t>Index=</t>
  </si>
  <si>
    <t>Index Value return=</t>
  </si>
  <si>
    <t>Index return=</t>
  </si>
  <si>
    <t xml:space="preserve">Initial </t>
  </si>
  <si>
    <t>80% stocks 20% bonds</t>
  </si>
  <si>
    <t>Stocks</t>
  </si>
  <si>
    <t>Bonds</t>
  </si>
  <si>
    <t>Goal:</t>
  </si>
  <si>
    <t>1 year later 20% return on stocks and 2% return on bonds</t>
  </si>
  <si>
    <t>Vi</t>
  </si>
  <si>
    <t>w</t>
  </si>
  <si>
    <t>Vf</t>
  </si>
  <si>
    <t>Rebalance</t>
  </si>
  <si>
    <t>Strategic Asset Allocation</t>
  </si>
  <si>
    <t xml:space="preserve">what if  stock prices in 1 quarter are </t>
  </si>
  <si>
    <t>Gold Basic Materials Market Cap Index</t>
  </si>
  <si>
    <t>NEM</t>
  </si>
  <si>
    <t>GG</t>
  </si>
  <si>
    <t>FNV</t>
  </si>
  <si>
    <t>Currency price weighted index</t>
  </si>
  <si>
    <t>EUR</t>
  </si>
  <si>
    <t>JPY</t>
  </si>
  <si>
    <t>GBP</t>
  </si>
  <si>
    <t>Currency against  USD</t>
  </si>
  <si>
    <t>Exchange rate in USD</t>
  </si>
  <si>
    <t>NA</t>
  </si>
  <si>
    <t xml:space="preserve">Say you have $1 million cash, and you would like to invest in the BM Gold market cap index above </t>
  </si>
  <si>
    <t>BMGoldCAP ETF p/s</t>
  </si>
  <si>
    <t>to BMGoldCAP ETF that tracks the index</t>
  </si>
  <si>
    <t>value of 1 share of BMGoldCAP ETF</t>
  </si>
  <si>
    <t>BMGoldCAP ETF return</t>
  </si>
  <si>
    <t>sell</t>
  </si>
  <si>
    <t>of stocks</t>
  </si>
  <si>
    <t>invest</t>
  </si>
  <si>
    <t>in bonds</t>
  </si>
  <si>
    <t>rp</t>
  </si>
  <si>
    <t>Tactical Asset Allocation</t>
  </si>
  <si>
    <t>2008  -61% return on stocks and 2% return on bonds</t>
  </si>
  <si>
    <t>Re-allocate</t>
  </si>
  <si>
    <t>of bonds</t>
  </si>
  <si>
    <t>in stocks</t>
  </si>
  <si>
    <t>Doing this in expectation</t>
  </si>
  <si>
    <t xml:space="preserve">that stocks will make a </t>
  </si>
  <si>
    <t xml:space="preserve">come back </t>
  </si>
  <si>
    <t>equity return =</t>
  </si>
  <si>
    <t>https://www.thebalance.com/what-is-tactical-asset-allocation-2466851</t>
  </si>
  <si>
    <t>https://www.thebalance.com/what-is-strategic-asset-allocation-2388300</t>
  </si>
  <si>
    <t>portfolio now: 60% in stocks and 40% in bonds</t>
  </si>
  <si>
    <t>How much return is needed in equities to have a 2009 Vf of = 3000, holding bonds return constant at 2%?</t>
  </si>
  <si>
    <t>How much return is needed in equities to have a 2009 Vf of = 4000, holding bonds  return constant 2%?</t>
  </si>
  <si>
    <t xml:space="preserve"> to NEM=</t>
  </si>
  <si>
    <t>to GG=</t>
  </si>
  <si>
    <t>to FNV=</t>
  </si>
  <si>
    <t xml:space="preserve">have the weights </t>
  </si>
  <si>
    <t xml:space="preserve">of the assets changed </t>
  </si>
  <si>
    <t>in the portfolio?</t>
  </si>
  <si>
    <t>Pre 2008</t>
  </si>
  <si>
    <t>per share return</t>
  </si>
  <si>
    <t>$ allocation</t>
  </si>
  <si>
    <t>these are just summed up</t>
  </si>
  <si>
    <t>above num/1000</t>
  </si>
  <si>
    <t>chosen</t>
  </si>
  <si>
    <t>weights*1mil$</t>
  </si>
  <si>
    <t>INDEX WEIGHTS</t>
  </si>
  <si>
    <t>It is important to note most MF/ETF have a tracking error that</t>
  </si>
  <si>
    <t>fails to track the index perfectly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</si>
</sst>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0.0000"/>
    <numFmt numFmtId="168" formatCode="0.0"/>
    <numFmt numFmtId="169" formatCode="_(* #,##0.0000_);_(* \(#,##0.0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9C65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12" borderId="0" applyNumberFormat="0" applyBorder="0" applyAlignment="0" applyProtection="0"/>
  </cellStyleXfs>
  <cellXfs count="79">
    <xf numFmtId="0" fontId="0" fillId="0" borderId="0" xfId="0"/>
    <xf numFmtId="0" fontId="3" fillId="0" borderId="0" xfId="0" applyFont="1"/>
    <xf numFmtId="0" fontId="0" fillId="2" borderId="0" xfId="0" applyFill="1"/>
    <xf numFmtId="164" fontId="0" fillId="0" borderId="0" xfId="1" applyNumberFormat="1" applyFont="1"/>
    <xf numFmtId="164" fontId="0" fillId="0" borderId="0" xfId="0" applyNumberFormat="1"/>
    <xf numFmtId="10" fontId="0" fillId="0" borderId="0" xfId="3" applyNumberFormat="1" applyFont="1"/>
    <xf numFmtId="0" fontId="0" fillId="0" borderId="0" xfId="0" applyBorder="1"/>
    <xf numFmtId="164" fontId="0" fillId="0" borderId="0" xfId="0" applyNumberFormat="1" applyBorder="1"/>
    <xf numFmtId="165" fontId="0" fillId="0" borderId="0" xfId="3" applyNumberFormat="1" applyFont="1"/>
    <xf numFmtId="164" fontId="0" fillId="0" borderId="1" xfId="0" applyNumberFormat="1" applyBorder="1"/>
    <xf numFmtId="10" fontId="0" fillId="0" borderId="0" xfId="3" applyNumberFormat="1" applyFont="1" applyBorder="1"/>
    <xf numFmtId="0" fontId="0" fillId="0" borderId="1" xfId="0" applyBorder="1"/>
    <xf numFmtId="0" fontId="4" fillId="3" borderId="0" xfId="0" applyFont="1" applyFill="1"/>
    <xf numFmtId="164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0" fillId="6" borderId="0" xfId="0" applyFill="1"/>
    <xf numFmtId="164" fontId="0" fillId="6" borderId="0" xfId="0" applyNumberFormat="1" applyFill="1"/>
    <xf numFmtId="0" fontId="5" fillId="0" borderId="0" xfId="0" applyFont="1"/>
    <xf numFmtId="0" fontId="2" fillId="7" borderId="0" xfId="0" applyFont="1" applyFill="1"/>
    <xf numFmtId="166" fontId="2" fillId="7" borderId="0" xfId="2" applyNumberFormat="1" applyFont="1" applyFill="1"/>
    <xf numFmtId="0" fontId="0" fillId="7" borderId="0" xfId="0" applyFill="1"/>
    <xf numFmtId="0" fontId="4" fillId="7" borderId="0" xfId="0" applyFont="1" applyFill="1"/>
    <xf numFmtId="10" fontId="0" fillId="0" borderId="0" xfId="0" applyNumberFormat="1"/>
    <xf numFmtId="0" fontId="6" fillId="0" borderId="0" xfId="0" applyFont="1"/>
    <xf numFmtId="0" fontId="4" fillId="0" borderId="0" xfId="0" applyFont="1"/>
    <xf numFmtId="0" fontId="4" fillId="0" borderId="2" xfId="0" applyFont="1" applyBorder="1"/>
    <xf numFmtId="0" fontId="0" fillId="8" borderId="0" xfId="0" applyFill="1"/>
    <xf numFmtId="10" fontId="0" fillId="8" borderId="0" xfId="3" applyNumberFormat="1" applyFont="1" applyFill="1"/>
    <xf numFmtId="0" fontId="2" fillId="9" borderId="0" xfId="0" applyFont="1" applyFill="1"/>
    <xf numFmtId="166" fontId="2" fillId="9" borderId="0" xfId="2" applyNumberFormat="1" applyFont="1" applyFill="1"/>
    <xf numFmtId="44" fontId="2" fillId="9" borderId="0" xfId="2" applyFont="1" applyFill="1"/>
    <xf numFmtId="0" fontId="6" fillId="9" borderId="0" xfId="0" applyFont="1" applyFill="1"/>
    <xf numFmtId="0" fontId="0" fillId="9" borderId="0" xfId="0" applyFill="1"/>
    <xf numFmtId="43" fontId="0" fillId="6" borderId="0" xfId="0" applyNumberFormat="1" applyFill="1"/>
    <xf numFmtId="0" fontId="4" fillId="9" borderId="0" xfId="0" applyFont="1" applyFill="1"/>
    <xf numFmtId="0" fontId="0" fillId="3" borderId="0" xfId="0" applyFill="1"/>
    <xf numFmtId="10" fontId="0" fillId="3" borderId="0" xfId="3" applyNumberFormat="1" applyFont="1" applyFill="1"/>
    <xf numFmtId="0" fontId="0" fillId="10" borderId="0" xfId="0" applyFill="1"/>
    <xf numFmtId="10" fontId="0" fillId="10" borderId="0" xfId="0" applyNumberFormat="1" applyFill="1"/>
    <xf numFmtId="10" fontId="0" fillId="9" borderId="0" xfId="3" applyNumberFormat="1" applyFont="1" applyFill="1"/>
    <xf numFmtId="164" fontId="4" fillId="5" borderId="0" xfId="0" applyNumberFormat="1" applyFont="1" applyFill="1"/>
    <xf numFmtId="44" fontId="0" fillId="0" borderId="0" xfId="0" applyNumberFormat="1"/>
    <xf numFmtId="0" fontId="4" fillId="0" borderId="0" xfId="0" applyFont="1" applyAlignment="1">
      <alignment horizontal="center"/>
    </xf>
    <xf numFmtId="0" fontId="2" fillId="0" borderId="0" xfId="0" applyFont="1"/>
    <xf numFmtId="0" fontId="8" fillId="0" borderId="0" xfId="0" applyFont="1"/>
    <xf numFmtId="0" fontId="9" fillId="0" borderId="0" xfId="0" applyFont="1"/>
    <xf numFmtId="0" fontId="0" fillId="11" borderId="0" xfId="0" applyFill="1"/>
    <xf numFmtId="0" fontId="0" fillId="4" borderId="0" xfId="0" applyFill="1"/>
    <xf numFmtId="167" fontId="0" fillId="4" borderId="0" xfId="0" applyNumberFormat="1" applyFill="1"/>
    <xf numFmtId="168" fontId="0" fillId="3" borderId="0" xfId="0" applyNumberFormat="1" applyFill="1"/>
    <xf numFmtId="0" fontId="5" fillId="4" borderId="0" xfId="0" applyFont="1" applyFill="1"/>
    <xf numFmtId="0" fontId="2" fillId="4" borderId="0" xfId="0" applyFont="1" applyFill="1"/>
    <xf numFmtId="0" fontId="4" fillId="0" borderId="3" xfId="0" applyFont="1" applyBorder="1" applyAlignment="1">
      <alignment horizontal="left" indent="1"/>
    </xf>
    <xf numFmtId="0" fontId="4" fillId="0" borderId="5" xfId="0" applyFont="1" applyBorder="1"/>
    <xf numFmtId="0" fontId="4" fillId="0" borderId="6" xfId="0" applyFont="1" applyBorder="1" applyAlignment="1">
      <alignment horizontal="left" indent="1"/>
    </xf>
    <xf numFmtId="0" fontId="4" fillId="0" borderId="7" xfId="0" applyFont="1" applyBorder="1"/>
    <xf numFmtId="44" fontId="4" fillId="0" borderId="4" xfId="2" applyFont="1" applyBorder="1" applyAlignment="1">
      <alignment horizontal="center"/>
    </xf>
    <xf numFmtId="44" fontId="4" fillId="0" borderId="2" xfId="2" applyFont="1" applyBorder="1" applyAlignment="1">
      <alignment horizontal="center"/>
    </xf>
    <xf numFmtId="9" fontId="0" fillId="0" borderId="0" xfId="3" applyFont="1"/>
    <xf numFmtId="10" fontId="4" fillId="3" borderId="0" xfId="3" applyNumberFormat="1" applyFont="1" applyFill="1"/>
    <xf numFmtId="168" fontId="0" fillId="11" borderId="0" xfId="0" applyNumberFormat="1" applyFill="1"/>
    <xf numFmtId="1" fontId="0" fillId="4" borderId="0" xfId="0" applyNumberFormat="1" applyFill="1"/>
    <xf numFmtId="9" fontId="4" fillId="2" borderId="0" xfId="3" applyFont="1" applyFill="1"/>
    <xf numFmtId="0" fontId="4" fillId="2" borderId="0" xfId="0" applyFont="1" applyFill="1"/>
    <xf numFmtId="0" fontId="5" fillId="0" borderId="8" xfId="0" applyFont="1" applyBorder="1"/>
    <xf numFmtId="0" fontId="2" fillId="0" borderId="8" xfId="0" applyFont="1" applyBorder="1"/>
    <xf numFmtId="169" fontId="0" fillId="0" borderId="0" xfId="0" applyNumberFormat="1"/>
    <xf numFmtId="2" fontId="0" fillId="4" borderId="0" xfId="0" applyNumberFormat="1" applyFill="1"/>
    <xf numFmtId="0" fontId="11" fillId="2" borderId="0" xfId="0" applyFont="1" applyFill="1"/>
    <xf numFmtId="44" fontId="11" fillId="2" borderId="0" xfId="0" applyNumberFormat="1" applyFont="1" applyFill="1"/>
    <xf numFmtId="44" fontId="11" fillId="2" borderId="0" xfId="2" applyFont="1" applyFill="1"/>
    <xf numFmtId="166" fontId="0" fillId="0" borderId="0" xfId="2" applyNumberFormat="1" applyFont="1"/>
    <xf numFmtId="0" fontId="12" fillId="12" borderId="0" xfId="4" applyFont="1"/>
    <xf numFmtId="0" fontId="13" fillId="0" borderId="0" xfId="0" applyFont="1"/>
    <xf numFmtId="44" fontId="6" fillId="0" borderId="0" xfId="0" applyNumberFormat="1" applyFont="1"/>
    <xf numFmtId="44" fontId="4" fillId="0" borderId="0" xfId="0" applyNumberFormat="1" applyFont="1"/>
    <xf numFmtId="0" fontId="11" fillId="7" borderId="0" xfId="0" applyFont="1" applyFill="1"/>
    <xf numFmtId="0" fontId="0" fillId="2" borderId="0" xfId="0" applyFont="1" applyFill="1"/>
  </cellXfs>
  <cellStyles count="5">
    <cellStyle name="Comma" xfId="1" builtinId="3"/>
    <cellStyle name="Currency" xfId="2" builtinId="4"/>
    <cellStyle name="Neutral" xfId="4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607949</xdr:colOff>
      <xdr:row>18</xdr:row>
      <xdr:rowOff>48164</xdr:rowOff>
    </xdr:from>
    <xdr:ext cx="535659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733024" y="3648614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1</a:t>
          </a:r>
        </a:p>
      </xdr:txBody>
    </xdr:sp>
    <xdr:clientData/>
  </xdr:oneCellAnchor>
  <xdr:oneCellAnchor>
    <xdr:from>
      <xdr:col>10</xdr:col>
      <xdr:colOff>588899</xdr:colOff>
      <xdr:row>31</xdr:row>
      <xdr:rowOff>29114</xdr:rowOff>
    </xdr:from>
    <xdr:ext cx="535659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713974" y="6106064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2</a:t>
          </a:r>
        </a:p>
      </xdr:txBody>
    </xdr:sp>
    <xdr:clientData/>
  </xdr:oneCellAnchor>
  <xdr:twoCellAnchor>
    <xdr:from>
      <xdr:col>1</xdr:col>
      <xdr:colOff>276225</xdr:colOff>
      <xdr:row>3</xdr:row>
      <xdr:rowOff>152400</xdr:rowOff>
    </xdr:from>
    <xdr:to>
      <xdr:col>3</xdr:col>
      <xdr:colOff>257175</xdr:colOff>
      <xdr:row>16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5B26F-6192-4895-96B1-00584434C374}"/>
            </a:ext>
          </a:extLst>
        </xdr:cNvPr>
        <xdr:cNvCxnSpPr/>
      </xdr:nvCxnSpPr>
      <xdr:spPr>
        <a:xfrm rot="16200000" flipH="1">
          <a:off x="1533525" y="962025"/>
          <a:ext cx="2438400" cy="2171700"/>
        </a:xfrm>
        <a:prstGeom prst="curvedConnector3">
          <a:avLst>
            <a:gd name="adj1" fmla="val 625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28575</xdr:colOff>
      <xdr:row>3</xdr:row>
      <xdr:rowOff>152400</xdr:rowOff>
    </xdr:from>
    <xdr:to>
      <xdr:col>5</xdr:col>
      <xdr:colOff>285718</xdr:colOff>
      <xdr:row>7</xdr:row>
      <xdr:rowOff>66589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E080D5A-F174-46B1-942D-060AE305A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3525" y="828675"/>
          <a:ext cx="257143" cy="685714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5</xdr:row>
      <xdr:rowOff>123825</xdr:rowOff>
    </xdr:from>
    <xdr:to>
      <xdr:col>10</xdr:col>
      <xdr:colOff>742950</xdr:colOff>
      <xdr:row>21</xdr:row>
      <xdr:rowOff>38100</xdr:rowOff>
    </xdr:to>
    <xdr:cxnSp macro="">
      <xdr:nvCxnSpPr>
        <xdr:cNvPr id="11" name="Straight Arrow Connector 7">
          <a:extLst>
            <a:ext uri="{FF2B5EF4-FFF2-40B4-BE49-F238E27FC236}">
              <a16:creationId xmlns:a16="http://schemas.microsoft.com/office/drawing/2014/main" id="{722F0FFB-C83A-4DF7-898B-D20528FCFC73}"/>
            </a:ext>
          </a:extLst>
        </xdr:cNvPr>
        <xdr:cNvCxnSpPr/>
      </xdr:nvCxnSpPr>
      <xdr:spPr>
        <a:xfrm>
          <a:off x="7115175" y="1181100"/>
          <a:ext cx="3981450" cy="302895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1047750</xdr:colOff>
      <xdr:row>19</xdr:row>
      <xdr:rowOff>114300</xdr:rowOff>
    </xdr:from>
    <xdr:to>
      <xdr:col>5</xdr:col>
      <xdr:colOff>9525</xdr:colOff>
      <xdr:row>23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B3D62D3-6B96-41FA-9442-A752C835652B}"/>
            </a:ext>
          </a:extLst>
        </xdr:cNvPr>
        <xdr:cNvCxnSpPr/>
      </xdr:nvCxnSpPr>
      <xdr:spPr>
        <a:xfrm flipH="1">
          <a:off x="3257550" y="3905250"/>
          <a:ext cx="2066925" cy="6477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11</xdr:row>
      <xdr:rowOff>95250</xdr:rowOff>
    </xdr:from>
    <xdr:to>
      <xdr:col>17</xdr:col>
      <xdr:colOff>142875</xdr:colOff>
      <xdr:row>40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2314575"/>
          <a:ext cx="5514975" cy="555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257175</xdr:colOff>
      <xdr:row>2</xdr:row>
      <xdr:rowOff>0</xdr:rowOff>
    </xdr:from>
    <xdr:to>
      <xdr:col>22</xdr:col>
      <xdr:colOff>180975</xdr:colOff>
      <xdr:row>30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457200"/>
          <a:ext cx="5410200" cy="550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1"/>
  <sheetViews>
    <sheetView tabSelected="1" workbookViewId="0">
      <selection activeCell="G31" sqref="G31"/>
    </sheetView>
  </sheetViews>
  <sheetFormatPr defaultRowHeight="15" x14ac:dyDescent="0.25"/>
  <cols>
    <col min="1" max="1" width="20.85546875" customWidth="1"/>
    <col min="2" max="2" width="12.28515625" customWidth="1"/>
    <col min="3" max="3" width="20.5703125" bestFit="1" customWidth="1"/>
    <col min="4" max="4" width="16.85546875" bestFit="1" customWidth="1"/>
    <col min="6" max="6" width="12.5703125" bestFit="1" customWidth="1"/>
    <col min="8" max="9" width="16.28515625" bestFit="1" customWidth="1"/>
    <col min="10" max="10" width="21.28515625" customWidth="1"/>
    <col min="11" max="11" width="19.28515625" customWidth="1"/>
    <col min="12" max="12" width="18.28515625" customWidth="1"/>
    <col min="13" max="13" width="15.28515625" bestFit="1" customWidth="1"/>
  </cols>
  <sheetData>
    <row r="2" spans="1:14" ht="23.25" x14ac:dyDescent="0.35">
      <c r="A2" s="1" t="s">
        <v>36</v>
      </c>
      <c r="J2" s="1" t="s">
        <v>40</v>
      </c>
    </row>
    <row r="4" spans="1:14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J4" s="2" t="s">
        <v>44</v>
      </c>
      <c r="K4" s="2" t="s">
        <v>45</v>
      </c>
      <c r="L4" s="2" t="s">
        <v>2</v>
      </c>
      <c r="M4" s="2" t="s">
        <v>3</v>
      </c>
      <c r="N4" s="2" t="s">
        <v>4</v>
      </c>
    </row>
    <row r="5" spans="1:14" x14ac:dyDescent="0.25">
      <c r="A5" t="s">
        <v>37</v>
      </c>
      <c r="B5">
        <v>37.520000000000003</v>
      </c>
      <c r="C5" s="3">
        <v>533340000</v>
      </c>
      <c r="D5" s="4">
        <f>B5*C5</f>
        <v>20010916800</v>
      </c>
      <c r="E5" s="5">
        <f>D5/$D$8</f>
        <v>0.43565302235393916</v>
      </c>
      <c r="J5" t="s">
        <v>41</v>
      </c>
      <c r="K5" s="6">
        <v>1.1994</v>
      </c>
      <c r="L5" s="3" t="s">
        <v>46</v>
      </c>
      <c r="M5" s="7" t="s">
        <v>46</v>
      </c>
      <c r="N5" s="8">
        <f>K5/$K$8</f>
        <v>0.46882695540007036</v>
      </c>
    </row>
    <row r="6" spans="1:14" x14ac:dyDescent="0.25">
      <c r="A6" t="s">
        <v>38</v>
      </c>
      <c r="B6">
        <v>12.77</v>
      </c>
      <c r="C6" s="3">
        <v>867120000</v>
      </c>
      <c r="D6" s="4">
        <f t="shared" ref="D6:D7" si="0">B6*C6</f>
        <v>11073122400</v>
      </c>
      <c r="E6" s="5">
        <f t="shared" ref="E6:E7" si="1">D6/$D$8</f>
        <v>0.24107037616862734</v>
      </c>
      <c r="G6" s="44" t="s">
        <v>84</v>
      </c>
      <c r="J6" t="s">
        <v>42</v>
      </c>
      <c r="K6" s="6">
        <v>8.8999999999999999E-3</v>
      </c>
      <c r="L6" s="3" t="s">
        <v>46</v>
      </c>
      <c r="M6" s="7" t="s">
        <v>46</v>
      </c>
      <c r="N6" s="8">
        <f>K6/$K$8</f>
        <v>3.4788726888949693E-3</v>
      </c>
    </row>
    <row r="7" spans="1:14" ht="15.75" thickBot="1" x14ac:dyDescent="0.3">
      <c r="A7" t="s">
        <v>39</v>
      </c>
      <c r="B7">
        <v>79.95</v>
      </c>
      <c r="C7" s="3">
        <v>185730000</v>
      </c>
      <c r="D7" s="9">
        <f t="shared" si="0"/>
        <v>14849113500</v>
      </c>
      <c r="E7" s="10">
        <f t="shared" si="1"/>
        <v>0.32327660147743353</v>
      </c>
      <c r="J7" t="s">
        <v>43</v>
      </c>
      <c r="K7" s="11">
        <v>1.35</v>
      </c>
      <c r="L7" s="3" t="s">
        <v>46</v>
      </c>
      <c r="M7" s="7" t="s">
        <v>46</v>
      </c>
      <c r="N7" s="8">
        <f>K7/$K$8</f>
        <v>0.52769417191103474</v>
      </c>
    </row>
    <row r="8" spans="1:14" ht="15.75" thickTop="1" x14ac:dyDescent="0.25">
      <c r="C8" s="12" t="s">
        <v>5</v>
      </c>
      <c r="D8" s="13">
        <f>SUM(D5:D7)</f>
        <v>45933152700</v>
      </c>
      <c r="E8" s="74" t="s">
        <v>80</v>
      </c>
      <c r="J8" s="14" t="s">
        <v>5</v>
      </c>
      <c r="K8" s="14">
        <f>SUM(K5:K7)</f>
        <v>2.5583</v>
      </c>
    </row>
    <row r="9" spans="1:14" x14ac:dyDescent="0.25">
      <c r="C9" s="15" t="s">
        <v>6</v>
      </c>
      <c r="D9" s="41">
        <f>D8/1000</f>
        <v>45933152.700000003</v>
      </c>
      <c r="E9" s="74" t="s">
        <v>81</v>
      </c>
      <c r="J9" s="15" t="s">
        <v>6</v>
      </c>
      <c r="K9" s="15" t="s">
        <v>7</v>
      </c>
      <c r="L9" s="67"/>
    </row>
    <row r="10" spans="1:14" x14ac:dyDescent="0.25">
      <c r="C10" s="16" t="s">
        <v>8</v>
      </c>
      <c r="D10" s="17">
        <f>D8/D9</f>
        <v>999.99999999999989</v>
      </c>
      <c r="E10" s="74" t="s">
        <v>82</v>
      </c>
      <c r="J10" s="16" t="s">
        <v>8</v>
      </c>
      <c r="K10" s="17">
        <f>K8/0.025583</f>
        <v>100</v>
      </c>
    </row>
    <row r="16" spans="1:14" ht="18.75" x14ac:dyDescent="0.3">
      <c r="A16" s="18" t="s">
        <v>47</v>
      </c>
    </row>
    <row r="17" spans="1:12" x14ac:dyDescent="0.25">
      <c r="A17" s="19" t="s">
        <v>9</v>
      </c>
      <c r="B17" s="20">
        <v>1000000</v>
      </c>
      <c r="C17" s="21" t="s">
        <v>83</v>
      </c>
      <c r="D17" s="21" t="s">
        <v>10</v>
      </c>
      <c r="E17" s="21"/>
      <c r="F17" s="21" t="s">
        <v>11</v>
      </c>
      <c r="G17" s="21"/>
      <c r="H17" s="22" t="s">
        <v>12</v>
      </c>
      <c r="I17" s="69" t="s">
        <v>79</v>
      </c>
    </row>
    <row r="18" spans="1:12" x14ac:dyDescent="0.25">
      <c r="A18" s="23">
        <f>E5</f>
        <v>0.43565302235393916</v>
      </c>
      <c r="B18" t="s">
        <v>71</v>
      </c>
      <c r="C18" s="42">
        <f>$B$17*A18</f>
        <v>435653.02235393913</v>
      </c>
      <c r="D18">
        <f>B5</f>
        <v>37.520000000000003</v>
      </c>
      <c r="F18" s="75">
        <f>C18/D18</f>
        <v>11611.221278090061</v>
      </c>
      <c r="H18" s="76">
        <f>F18*D18</f>
        <v>435653.02235393913</v>
      </c>
      <c r="I18" s="70">
        <f>$B$17*A18</f>
        <v>435653.02235393913</v>
      </c>
      <c r="J18" s="73" t="str">
        <f>IF(I18=C18,"you got it!","try again")</f>
        <v>you got it!</v>
      </c>
    </row>
    <row r="19" spans="1:12" x14ac:dyDescent="0.25">
      <c r="A19" s="23">
        <f t="shared" ref="A19:A20" si="2">E6</f>
        <v>0.24107037616862734</v>
      </c>
      <c r="B19" t="s">
        <v>72</v>
      </c>
      <c r="C19">
        <f t="shared" ref="C19:C20" si="3">$B$17*A19</f>
        <v>241070.37616862735</v>
      </c>
      <c r="D19">
        <f t="shared" ref="D19:D20" si="4">B6</f>
        <v>12.77</v>
      </c>
      <c r="F19" s="24">
        <f t="shared" ref="F19:F20" si="5">C19/D19</f>
        <v>18877.868141630959</v>
      </c>
      <c r="H19" s="25">
        <f t="shared" ref="H19:H20" si="6">F19*D19</f>
        <v>241070.37616862735</v>
      </c>
      <c r="I19" s="70">
        <f t="shared" ref="I19:I20" si="7">$B$17*A19</f>
        <v>241070.37616862735</v>
      </c>
      <c r="J19" s="73" t="str">
        <f t="shared" ref="J19:J20" si="8">IF(I19=C19,"you got it!","try again")</f>
        <v>you got it!</v>
      </c>
    </row>
    <row r="20" spans="1:12" x14ac:dyDescent="0.25">
      <c r="A20" s="23">
        <f t="shared" si="2"/>
        <v>0.32327660147743353</v>
      </c>
      <c r="B20" t="s">
        <v>73</v>
      </c>
      <c r="C20">
        <f t="shared" si="3"/>
        <v>323276.60147743352</v>
      </c>
      <c r="D20">
        <f t="shared" si="4"/>
        <v>79.95</v>
      </c>
      <c r="F20" s="24">
        <f t="shared" si="5"/>
        <v>4043.4846964031708</v>
      </c>
      <c r="H20" s="26">
        <f t="shared" si="6"/>
        <v>323276.60147743352</v>
      </c>
      <c r="I20" s="70">
        <f t="shared" si="7"/>
        <v>323276.60147743352</v>
      </c>
      <c r="J20" s="73" t="str">
        <f t="shared" si="8"/>
        <v>you got it!</v>
      </c>
    </row>
    <row r="21" spans="1:12" x14ac:dyDescent="0.25">
      <c r="H21" s="72">
        <f>SUM(H18:H20)</f>
        <v>1000000</v>
      </c>
      <c r="I21" s="72">
        <f>SUM(I18:I20)</f>
        <v>1000000</v>
      </c>
      <c r="L21" s="24" t="s">
        <v>13</v>
      </c>
    </row>
    <row r="22" spans="1:12" x14ac:dyDescent="0.25">
      <c r="A22" s="21" t="s">
        <v>35</v>
      </c>
      <c r="B22" s="21"/>
      <c r="C22" s="21"/>
      <c r="D22" s="21"/>
      <c r="E22" s="21"/>
    </row>
    <row r="23" spans="1:12" x14ac:dyDescent="0.25">
      <c r="A23" s="21"/>
      <c r="B23" s="21" t="s">
        <v>14</v>
      </c>
      <c r="C23" s="21" t="str">
        <f>F17</f>
        <v># shares</v>
      </c>
      <c r="D23" s="77" t="s">
        <v>78</v>
      </c>
      <c r="E23" s="22" t="s">
        <v>12</v>
      </c>
    </row>
    <row r="24" spans="1:12" x14ac:dyDescent="0.25">
      <c r="A24" t="s">
        <v>37</v>
      </c>
      <c r="B24">
        <v>39</v>
      </c>
      <c r="C24">
        <f>F18</f>
        <v>11611.221278090061</v>
      </c>
      <c r="D24" s="69">
        <f>(B24-D18)/D18</f>
        <v>3.9445628997867715E-2</v>
      </c>
      <c r="E24" s="25">
        <f>C24*B24</f>
        <v>452837.62984551239</v>
      </c>
      <c r="F24" s="63">
        <f>E24/$E$27</f>
        <v>0.38894571819676571</v>
      </c>
      <c r="G24" s="64" t="s">
        <v>74</v>
      </c>
      <c r="H24" s="64"/>
      <c r="I24" s="71">
        <f>I18*(1+D24)</f>
        <v>452837.62984551239</v>
      </c>
    </row>
    <row r="25" spans="1:12" x14ac:dyDescent="0.25">
      <c r="A25" t="s">
        <v>38</v>
      </c>
      <c r="B25">
        <v>17.22</v>
      </c>
      <c r="C25">
        <f t="shared" ref="C25:C26" si="9">F19</f>
        <v>18877.868141630959</v>
      </c>
      <c r="D25" s="69">
        <f t="shared" ref="D25:D26" si="10">(B25-D19)/D19</f>
        <v>0.34847298355520745</v>
      </c>
      <c r="E25" s="25">
        <f t="shared" ref="E25:E26" si="11">C25*B25</f>
        <v>325076.88939888508</v>
      </c>
      <c r="F25" s="63">
        <f t="shared" ref="F25:F26" si="12">E25/$E$27</f>
        <v>0.27921103698814648</v>
      </c>
      <c r="G25" s="64" t="s">
        <v>75</v>
      </c>
      <c r="H25" s="64"/>
      <c r="I25" s="71">
        <f t="shared" ref="I25:I26" si="13">I19*(1+D25)</f>
        <v>325076.88939888508</v>
      </c>
    </row>
    <row r="26" spans="1:12" x14ac:dyDescent="0.25">
      <c r="A26" t="s">
        <v>39</v>
      </c>
      <c r="B26">
        <v>95.55</v>
      </c>
      <c r="C26">
        <f t="shared" si="9"/>
        <v>4043.4846964031708</v>
      </c>
      <c r="D26" s="69">
        <f t="shared" si="10"/>
        <v>0.19512195121951212</v>
      </c>
      <c r="E26" s="25">
        <f t="shared" si="11"/>
        <v>386354.96274132293</v>
      </c>
      <c r="F26" s="63">
        <f t="shared" si="12"/>
        <v>0.33184324481508787</v>
      </c>
      <c r="G26" s="64" t="s">
        <v>76</v>
      </c>
      <c r="H26" s="64"/>
      <c r="I26" s="71">
        <f t="shared" si="13"/>
        <v>386354.96274132299</v>
      </c>
    </row>
    <row r="27" spans="1:12" x14ac:dyDescent="0.25">
      <c r="E27" s="25">
        <f>SUM(E24:E26)</f>
        <v>1164269.4819857203</v>
      </c>
      <c r="F27" s="25"/>
      <c r="G27" s="25"/>
      <c r="H27" s="25"/>
      <c r="I27" s="25">
        <f t="shared" ref="I27" si="14">SUM(I24:I26)</f>
        <v>1164269.4819857206</v>
      </c>
      <c r="J27" s="73" t="str">
        <f>IF(I27=E27,"you got it!","try again")</f>
        <v>you got it!</v>
      </c>
    </row>
    <row r="28" spans="1:12" x14ac:dyDescent="0.25">
      <c r="A28" s="27" t="s">
        <v>15</v>
      </c>
      <c r="B28" s="28">
        <f>(E27-H21)/H21</f>
        <v>0.16426948198572033</v>
      </c>
    </row>
    <row r="30" spans="1:12" x14ac:dyDescent="0.25">
      <c r="A30" s="29" t="s">
        <v>16</v>
      </c>
      <c r="B30" s="30">
        <v>1000000</v>
      </c>
      <c r="C30" s="29" t="s">
        <v>49</v>
      </c>
      <c r="D30" s="29"/>
    </row>
    <row r="31" spans="1:12" x14ac:dyDescent="0.25">
      <c r="A31" s="29" t="s">
        <v>48</v>
      </c>
      <c r="B31" s="31">
        <v>1000</v>
      </c>
      <c r="C31" s="29"/>
      <c r="D31" s="29"/>
    </row>
    <row r="32" spans="1:12" x14ac:dyDescent="0.25">
      <c r="A32" s="32" t="s">
        <v>17</v>
      </c>
      <c r="B32" s="32">
        <f>B30/B31</f>
        <v>1000</v>
      </c>
      <c r="C32" s="32" t="s">
        <v>18</v>
      </c>
      <c r="D32" s="29"/>
    </row>
    <row r="33" spans="1:13" x14ac:dyDescent="0.25">
      <c r="A33" s="2" t="s">
        <v>0</v>
      </c>
      <c r="B33" s="2" t="s">
        <v>1</v>
      </c>
      <c r="C33" s="2" t="s">
        <v>2</v>
      </c>
      <c r="D33" s="2" t="s">
        <v>3</v>
      </c>
      <c r="E33" s="78" t="s">
        <v>4</v>
      </c>
    </row>
    <row r="34" spans="1:13" x14ac:dyDescent="0.25">
      <c r="A34" t="s">
        <v>37</v>
      </c>
      <c r="B34">
        <f>B24</f>
        <v>39</v>
      </c>
      <c r="C34" s="3">
        <f>C5</f>
        <v>533340000</v>
      </c>
      <c r="D34" s="4">
        <f>C34*B34</f>
        <v>20800260000</v>
      </c>
      <c r="E34" s="8">
        <f>D34/$D$37</f>
        <v>0.38894571819676571</v>
      </c>
      <c r="L34" s="24" t="s">
        <v>19</v>
      </c>
    </row>
    <row r="35" spans="1:13" x14ac:dyDescent="0.25">
      <c r="A35" t="s">
        <v>38</v>
      </c>
      <c r="B35">
        <f>B25</f>
        <v>17.22</v>
      </c>
      <c r="C35" s="3">
        <f t="shared" ref="C35:C36" si="15">C6</f>
        <v>867120000</v>
      </c>
      <c r="D35" s="4">
        <f t="shared" ref="D35:D36" si="16">C35*B35</f>
        <v>14931806399.999998</v>
      </c>
      <c r="E35" s="8">
        <f t="shared" ref="E35:E36" si="17">D35/$D$37</f>
        <v>0.27921103698814637</v>
      </c>
    </row>
    <row r="36" spans="1:13" x14ac:dyDescent="0.25">
      <c r="A36" t="s">
        <v>39</v>
      </c>
      <c r="B36">
        <f>B26</f>
        <v>95.55</v>
      </c>
      <c r="C36" s="3">
        <f t="shared" si="15"/>
        <v>185730000</v>
      </c>
      <c r="D36" s="4">
        <f t="shared" si="16"/>
        <v>17746501500</v>
      </c>
      <c r="E36" s="8">
        <f t="shared" si="17"/>
        <v>0.33184324481508787</v>
      </c>
      <c r="L36" s="44" t="s">
        <v>85</v>
      </c>
    </row>
    <row r="37" spans="1:13" x14ac:dyDescent="0.25">
      <c r="C37" s="12" t="s">
        <v>5</v>
      </c>
      <c r="D37" s="13">
        <f>SUM(D34:D36)</f>
        <v>53478567900</v>
      </c>
      <c r="M37" s="44" t="s">
        <v>86</v>
      </c>
    </row>
    <row r="38" spans="1:13" x14ac:dyDescent="0.25">
      <c r="A38" s="29" t="s">
        <v>48</v>
      </c>
      <c r="B38" s="33" t="s">
        <v>20</v>
      </c>
      <c r="C38" s="16" t="s">
        <v>21</v>
      </c>
      <c r="D38" s="34">
        <f>D37/D9</f>
        <v>1164.2694819857204</v>
      </c>
      <c r="E38" s="35" t="s">
        <v>50</v>
      </c>
      <c r="F38" s="33"/>
      <c r="G38" s="33"/>
      <c r="H38" s="33"/>
    </row>
    <row r="39" spans="1:13" x14ac:dyDescent="0.25">
      <c r="A39" s="36" t="s">
        <v>22</v>
      </c>
      <c r="B39" s="37">
        <f>(D37-D8)/D8</f>
        <v>0.16426948198572053</v>
      </c>
    </row>
    <row r="40" spans="1:13" x14ac:dyDescent="0.25">
      <c r="A40" s="38" t="s">
        <v>23</v>
      </c>
      <c r="B40" s="39">
        <f>(D38-D10)/D10</f>
        <v>0.16426948198572053</v>
      </c>
    </row>
    <row r="41" spans="1:13" x14ac:dyDescent="0.25">
      <c r="A41" s="33" t="s">
        <v>51</v>
      </c>
      <c r="B41" s="40">
        <f>(D38-B31)/B31</f>
        <v>0.16426948198572042</v>
      </c>
    </row>
  </sheetData>
  <pageMargins left="0.7" right="0.7" top="0.75" bottom="0.75" header="0.3" footer="0.3"/>
  <pageSetup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topLeftCell="A4" workbookViewId="0">
      <selection activeCell="F24" sqref="F24"/>
    </sheetView>
  </sheetViews>
  <sheetFormatPr defaultRowHeight="15" x14ac:dyDescent="0.25"/>
  <cols>
    <col min="2" max="2" width="10.5703125" bestFit="1" customWidth="1"/>
  </cols>
  <sheetData>
    <row r="1" spans="1:12" ht="21" x14ac:dyDescent="0.35">
      <c r="A1" s="46" t="s">
        <v>34</v>
      </c>
    </row>
    <row r="2" spans="1:12" x14ac:dyDescent="0.25">
      <c r="A2" s="44" t="s">
        <v>24</v>
      </c>
      <c r="B2">
        <v>3000</v>
      </c>
    </row>
    <row r="3" spans="1:12" x14ac:dyDescent="0.25">
      <c r="A3" s="44" t="s">
        <v>28</v>
      </c>
      <c r="B3" t="s">
        <v>25</v>
      </c>
    </row>
    <row r="4" spans="1:12" x14ac:dyDescent="0.25">
      <c r="C4" s="43" t="s">
        <v>31</v>
      </c>
    </row>
    <row r="5" spans="1:12" x14ac:dyDescent="0.25">
      <c r="A5" s="2" t="s">
        <v>26</v>
      </c>
      <c r="B5" s="2">
        <f>0.8*B2</f>
        <v>2400</v>
      </c>
      <c r="C5" s="2">
        <f>B5/$B$7</f>
        <v>0.8</v>
      </c>
    </row>
    <row r="6" spans="1:12" x14ac:dyDescent="0.25">
      <c r="A6" s="2" t="s">
        <v>27</v>
      </c>
      <c r="B6" s="2">
        <f>0.2*B2</f>
        <v>600</v>
      </c>
      <c r="C6" s="2">
        <f>B6/$B$7</f>
        <v>0.2</v>
      </c>
    </row>
    <row r="7" spans="1:12" x14ac:dyDescent="0.25">
      <c r="A7" s="36" t="s">
        <v>30</v>
      </c>
      <c r="B7" s="36">
        <f>SUM(B5:B6)</f>
        <v>3000</v>
      </c>
    </row>
    <row r="8" spans="1:12" ht="18.75" x14ac:dyDescent="0.3">
      <c r="A8" s="45" t="s">
        <v>29</v>
      </c>
    </row>
    <row r="9" spans="1:12" x14ac:dyDescent="0.25">
      <c r="C9" s="43" t="s">
        <v>31</v>
      </c>
      <c r="L9" t="s">
        <v>67</v>
      </c>
    </row>
    <row r="10" spans="1:12" x14ac:dyDescent="0.25">
      <c r="A10" s="47" t="s">
        <v>26</v>
      </c>
      <c r="B10" s="47">
        <f>B5*1.2</f>
        <v>2880</v>
      </c>
      <c r="C10" s="47">
        <f>B10/$B$12</f>
        <v>0.82474226804123707</v>
      </c>
    </row>
    <row r="11" spans="1:12" x14ac:dyDescent="0.25">
      <c r="A11" s="47" t="s">
        <v>27</v>
      </c>
      <c r="B11" s="47">
        <f>B6*1.02</f>
        <v>612</v>
      </c>
      <c r="C11" s="47">
        <f>B11/$B$12</f>
        <v>0.17525773195876287</v>
      </c>
    </row>
    <row r="12" spans="1:12" x14ac:dyDescent="0.25">
      <c r="A12" s="36" t="s">
        <v>32</v>
      </c>
      <c r="B12" s="36">
        <f>SUM(B10:B11)</f>
        <v>3492</v>
      </c>
    </row>
    <row r="14" spans="1:12" ht="18.75" x14ac:dyDescent="0.3">
      <c r="A14" s="51" t="s">
        <v>33</v>
      </c>
      <c r="B14" s="52"/>
      <c r="C14" s="43" t="s">
        <v>31</v>
      </c>
    </row>
    <row r="15" spans="1:12" x14ac:dyDescent="0.25">
      <c r="A15" s="48" t="s">
        <v>26</v>
      </c>
      <c r="B15" s="68">
        <f>B10-E16</f>
        <v>2793.5993880000001</v>
      </c>
      <c r="C15" s="49">
        <f>B15/$B$12</f>
        <v>0.79999982474226805</v>
      </c>
      <c r="D15" s="53" t="s">
        <v>52</v>
      </c>
      <c r="E15" s="57">
        <f>B10-B15</f>
        <v>86.40061199999991</v>
      </c>
      <c r="F15" s="54" t="s">
        <v>53</v>
      </c>
    </row>
    <row r="16" spans="1:12" x14ac:dyDescent="0.25">
      <c r="A16" s="48" t="s">
        <v>27</v>
      </c>
      <c r="B16" s="68">
        <v>698.40061200000002</v>
      </c>
      <c r="C16" s="49">
        <f>B16/$B$12</f>
        <v>0.20000017525773198</v>
      </c>
      <c r="D16" s="55" t="s">
        <v>54</v>
      </c>
      <c r="E16" s="58">
        <f>B16-B11</f>
        <v>86.400612000000024</v>
      </c>
      <c r="F16" s="56" t="s">
        <v>55</v>
      </c>
    </row>
    <row r="17" spans="1:2" x14ac:dyDescent="0.25">
      <c r="A17" s="36" t="s">
        <v>32</v>
      </c>
      <c r="B17" s="50">
        <f>SUM(B15:B16)</f>
        <v>3492</v>
      </c>
    </row>
    <row r="19" spans="1:2" x14ac:dyDescent="0.25">
      <c r="A19" s="12" t="s">
        <v>56</v>
      </c>
      <c r="B19" s="60">
        <f>(B12-B7)/B7</f>
        <v>0.16400000000000001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1"/>
  <sheetViews>
    <sheetView workbookViewId="0">
      <selection activeCell="B19" sqref="B19"/>
    </sheetView>
  </sheetViews>
  <sheetFormatPr defaultRowHeight="15" x14ac:dyDescent="0.25"/>
  <cols>
    <col min="2" max="2" width="9.7109375" customWidth="1"/>
    <col min="5" max="5" width="10.28515625" bestFit="1" customWidth="1"/>
  </cols>
  <sheetData>
    <row r="1" spans="1:12" ht="21" x14ac:dyDescent="0.35">
      <c r="A1" s="46" t="s">
        <v>57</v>
      </c>
      <c r="E1" s="64" t="s">
        <v>77</v>
      </c>
    </row>
    <row r="2" spans="1:12" x14ac:dyDescent="0.25">
      <c r="A2" s="44" t="s">
        <v>24</v>
      </c>
      <c r="B2">
        <v>3000</v>
      </c>
    </row>
    <row r="3" spans="1:12" x14ac:dyDescent="0.25">
      <c r="A3" s="44" t="s">
        <v>28</v>
      </c>
      <c r="B3" t="s">
        <v>25</v>
      </c>
    </row>
    <row r="4" spans="1:12" x14ac:dyDescent="0.25">
      <c r="C4" s="43" t="s">
        <v>31</v>
      </c>
    </row>
    <row r="5" spans="1:12" x14ac:dyDescent="0.25">
      <c r="A5" s="2" t="s">
        <v>26</v>
      </c>
      <c r="B5" s="2">
        <f>0.8*B2</f>
        <v>2400</v>
      </c>
      <c r="C5" s="2">
        <f>B5/$B$7</f>
        <v>0.8</v>
      </c>
    </row>
    <row r="6" spans="1:12" x14ac:dyDescent="0.25">
      <c r="A6" s="2" t="s">
        <v>27</v>
      </c>
      <c r="B6" s="2">
        <f>0.2*B2</f>
        <v>600</v>
      </c>
      <c r="C6" s="2">
        <f>B6/$B$7</f>
        <v>0.2</v>
      </c>
    </row>
    <row r="7" spans="1:12" x14ac:dyDescent="0.25">
      <c r="A7" s="36" t="s">
        <v>30</v>
      </c>
      <c r="B7" s="36">
        <f>SUM(B5:B6)</f>
        <v>3000</v>
      </c>
    </row>
    <row r="8" spans="1:12" s="44" customFormat="1" ht="18.75" x14ac:dyDescent="0.3">
      <c r="A8" s="65" t="s">
        <v>58</v>
      </c>
      <c r="B8" s="66"/>
      <c r="C8" s="66"/>
      <c r="D8" s="66"/>
      <c r="E8" s="66"/>
      <c r="F8" s="66"/>
      <c r="G8" s="66"/>
    </row>
    <row r="9" spans="1:12" x14ac:dyDescent="0.25">
      <c r="C9" s="43" t="s">
        <v>31</v>
      </c>
    </row>
    <row r="10" spans="1:12" x14ac:dyDescent="0.25">
      <c r="A10" s="47" t="s">
        <v>26</v>
      </c>
      <c r="B10" s="61">
        <f>B5*(1-0.61)</f>
        <v>936</v>
      </c>
      <c r="C10" s="47">
        <f>B10/$B$12</f>
        <v>0.60465116279069764</v>
      </c>
      <c r="D10" t="s">
        <v>68</v>
      </c>
    </row>
    <row r="11" spans="1:12" x14ac:dyDescent="0.25">
      <c r="A11" s="47" t="s">
        <v>27</v>
      </c>
      <c r="B11" s="47">
        <f>B6*1.02</f>
        <v>612</v>
      </c>
      <c r="C11" s="47">
        <f>B11/$B$12</f>
        <v>0.39534883720930231</v>
      </c>
    </row>
    <row r="12" spans="1:12" x14ac:dyDescent="0.25">
      <c r="A12" s="36" t="s">
        <v>32</v>
      </c>
      <c r="B12" s="50">
        <f>SUM(B10:B11)</f>
        <v>1548</v>
      </c>
    </row>
    <row r="14" spans="1:12" ht="18.75" x14ac:dyDescent="0.3">
      <c r="A14" s="51" t="s">
        <v>59</v>
      </c>
      <c r="B14" s="52"/>
      <c r="C14" s="43" t="s">
        <v>31</v>
      </c>
    </row>
    <row r="15" spans="1:12" x14ac:dyDescent="0.25">
      <c r="A15" s="48" t="s">
        <v>26</v>
      </c>
      <c r="B15" s="62">
        <v>1238.400936</v>
      </c>
      <c r="C15" s="49">
        <f>B15/$B$12</f>
        <v>0.80000060465116274</v>
      </c>
      <c r="D15" s="53" t="s">
        <v>54</v>
      </c>
      <c r="E15" s="57">
        <f>B15-B10</f>
        <v>302.400936</v>
      </c>
      <c r="F15" s="54" t="s">
        <v>61</v>
      </c>
      <c r="H15" s="25" t="s">
        <v>62</v>
      </c>
      <c r="L15" t="s">
        <v>66</v>
      </c>
    </row>
    <row r="16" spans="1:12" x14ac:dyDescent="0.25">
      <c r="A16" s="48" t="s">
        <v>27</v>
      </c>
      <c r="B16" s="62">
        <f>B11-(B15-B10)</f>
        <v>309.599064</v>
      </c>
      <c r="C16" s="49">
        <f>B16/$B$12</f>
        <v>0.19999939534883721</v>
      </c>
      <c r="D16" s="55" t="s">
        <v>52</v>
      </c>
      <c r="E16" s="58">
        <f>B16-B11</f>
        <v>-302.400936</v>
      </c>
      <c r="F16" s="56" t="s">
        <v>60</v>
      </c>
      <c r="H16" s="25" t="s">
        <v>63</v>
      </c>
    </row>
    <row r="17" spans="1:8" x14ac:dyDescent="0.25">
      <c r="A17" s="36" t="s">
        <v>32</v>
      </c>
      <c r="B17" s="50">
        <f>SUM(B15:B16)</f>
        <v>1548</v>
      </c>
      <c r="H17" s="25" t="s">
        <v>64</v>
      </c>
    </row>
    <row r="19" spans="1:8" x14ac:dyDescent="0.25">
      <c r="A19" s="12" t="s">
        <v>56</v>
      </c>
      <c r="B19" s="60">
        <f>(B12-B7)/B7</f>
        <v>-0.48399999999999999</v>
      </c>
    </row>
    <row r="22" spans="1:8" x14ac:dyDescent="0.25">
      <c r="A22" t="s">
        <v>69</v>
      </c>
    </row>
    <row r="24" spans="1:8" x14ac:dyDescent="0.25">
      <c r="A24" s="48" t="s">
        <v>26</v>
      </c>
      <c r="B24" s="62">
        <v>2684.2079999999992</v>
      </c>
      <c r="C24" s="49">
        <f>B24/$B$26</f>
        <v>0.89473628474087519</v>
      </c>
      <c r="D24" t="s">
        <v>65</v>
      </c>
      <c r="F24" s="59">
        <f>(B24-B15)/B15</f>
        <v>1.1674789819441795</v>
      </c>
    </row>
    <row r="25" spans="1:8" x14ac:dyDescent="0.25">
      <c r="A25" s="48" t="s">
        <v>27</v>
      </c>
      <c r="B25" s="62">
        <f>B16*1.02</f>
        <v>315.79104527999999</v>
      </c>
      <c r="C25" s="49">
        <f>B25/$B$26</f>
        <v>0.10526371525912477</v>
      </c>
    </row>
    <row r="26" spans="1:8" x14ac:dyDescent="0.25">
      <c r="A26" s="36" t="s">
        <v>32</v>
      </c>
      <c r="B26" s="50">
        <f>SUM(B24:B25)</f>
        <v>2999.9990452799993</v>
      </c>
    </row>
    <row r="28" spans="1:8" x14ac:dyDescent="0.25">
      <c r="A28" t="s">
        <v>70</v>
      </c>
    </row>
    <row r="29" spans="1:8" x14ac:dyDescent="0.25">
      <c r="A29" s="48" t="s">
        <v>26</v>
      </c>
      <c r="B29" s="62">
        <v>3684.2079999999992</v>
      </c>
      <c r="C29" s="49">
        <f>B29/$B$31</f>
        <v>0.92105221983674379</v>
      </c>
      <c r="D29" t="s">
        <v>65</v>
      </c>
      <c r="F29" s="59">
        <f>(B29-B15)/B15</f>
        <v>1.9749719116814355</v>
      </c>
    </row>
    <row r="30" spans="1:8" x14ac:dyDescent="0.25">
      <c r="A30" s="48" t="s">
        <v>27</v>
      </c>
      <c r="B30" s="62">
        <f>B25</f>
        <v>315.79104527999999</v>
      </c>
      <c r="C30" s="49">
        <f>B30/$B$31</f>
        <v>7.8947780163256182E-2</v>
      </c>
    </row>
    <row r="31" spans="1:8" x14ac:dyDescent="0.25">
      <c r="A31" s="36" t="s">
        <v>32</v>
      </c>
      <c r="B31" s="50">
        <f>SUM(B29:B30)</f>
        <v>3999.9990452799993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Indexing</vt:lpstr>
      <vt:lpstr>SAA</vt:lpstr>
      <vt:lpstr>TAA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</dc:creator>
  <cp:lastModifiedBy>HP</cp:lastModifiedBy>
  <dcterms:created xsi:type="dcterms:W3CDTF">2017-12-30T16:23:21Z</dcterms:created>
  <dcterms:modified xsi:type="dcterms:W3CDTF">2018-03-08T02:40:40Z</dcterms:modified>
</cp:coreProperties>
</file>