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hidePivotFieldList="1"/>
  <mc:AlternateContent xmlns:mc="http://schemas.openxmlformats.org/markup-compatibility/2006">
    <mc:Choice Requires="x15">
      <x15ac:absPath xmlns:x15ac="http://schemas.microsoft.com/office/spreadsheetml/2010/11/ac" url="https://qmulprod-my.sharepoint.com/personal/ex21107_qmul_ac_uk/Documents/Year 3/Sem 2/Sustainability/"/>
    </mc:Choice>
  </mc:AlternateContent>
  <xr:revisionPtr revIDLastSave="646" documentId="8_{59652B11-BB9F-49F2-A596-3FA0124AA97F}" xr6:coauthVersionLast="47" xr6:coauthVersionMax="47" xr10:uidLastSave="{AEE7AF69-9C0B-48EE-8688-2C0FA284EAE5}"/>
  <bookViews>
    <workbookView xWindow="14400" yWindow="0" windowWidth="14400" windowHeight="15600" xr2:uid="{2B668B5D-4DD6-4A78-BAF9-D8A15EFC33A5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0" i="1" l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Z12" i="1"/>
  <c r="Z13" i="1"/>
  <c r="Z14" i="1"/>
  <c r="Z15" i="1"/>
  <c r="Z16" i="1"/>
  <c r="Z17" i="1"/>
  <c r="Z18" i="1"/>
  <c r="Z19" i="1"/>
  <c r="Z20" i="1"/>
  <c r="Z11" i="1"/>
  <c r="Z10" i="1"/>
  <c r="L6" i="1"/>
  <c r="L7" i="1"/>
  <c r="L32" i="1"/>
  <c r="T14" i="1"/>
  <c r="U14" i="1"/>
  <c r="P12" i="1"/>
  <c r="L31" i="1" s="1"/>
  <c r="P11" i="1"/>
  <c r="L30" i="1"/>
  <c r="L5" i="1"/>
  <c r="P20" i="1"/>
  <c r="P18" i="1"/>
  <c r="P15" i="1"/>
  <c r="L13" i="1"/>
  <c r="T11" i="1" s="1"/>
  <c r="T12" i="1" l="1"/>
  <c r="U12" i="1"/>
  <c r="J30" i="1"/>
  <c r="J38" i="1" s="1"/>
  <c r="U10" i="1" s="1"/>
  <c r="AB10" i="1" s="1"/>
  <c r="J5" i="1"/>
  <c r="J13" i="1" s="1"/>
  <c r="T10" i="1" s="1"/>
  <c r="L38" i="1"/>
  <c r="U11" i="1" s="1"/>
  <c r="AB15" i="1"/>
  <c r="AC15" i="1" s="1"/>
  <c r="AB11" i="1"/>
  <c r="AC11" i="1" s="1"/>
  <c r="AB19" i="1"/>
  <c r="AC19" i="1" s="1"/>
  <c r="AB14" i="1"/>
  <c r="AC14" i="1" s="1"/>
  <c r="AB18" i="1"/>
  <c r="AC18" i="1" s="1"/>
  <c r="AB17" i="1"/>
  <c r="AC17" i="1" s="1"/>
  <c r="AB20" i="1"/>
  <c r="AC20" i="1" s="1"/>
  <c r="AC10" i="1"/>
  <c r="T15" i="1"/>
  <c r="AB16" i="1"/>
  <c r="AC16" i="1" s="1"/>
  <c r="AB13" i="1"/>
  <c r="AC13" i="1" s="1"/>
  <c r="AB12" i="1"/>
  <c r="AC12" i="1" s="1"/>
  <c r="U15" i="1"/>
  <c r="X10" i="1" l="1"/>
  <c r="Y10" i="1" s="1"/>
  <c r="X11" i="1"/>
  <c r="Y11" i="1" s="1"/>
  <c r="X12" i="1"/>
  <c r="Y12" i="1" s="1"/>
  <c r="X13" i="1"/>
  <c r="Y13" i="1" s="1"/>
  <c r="X14" i="1"/>
  <c r="Y14" i="1" s="1"/>
  <c r="X15" i="1"/>
  <c r="Y15" i="1" s="1"/>
  <c r="X16" i="1"/>
  <c r="Y16" i="1" s="1"/>
  <c r="X17" i="1"/>
  <c r="Y17" i="1" s="1"/>
  <c r="X18" i="1"/>
  <c r="Y18" i="1" s="1"/>
  <c r="X19" i="1"/>
  <c r="Y19" i="1" s="1"/>
  <c r="X20" i="1"/>
  <c r="Y20" i="1" s="1"/>
  <c r="T19" i="1"/>
  <c r="T16" i="1"/>
  <c r="T17" i="1" s="1"/>
  <c r="U19" i="1"/>
  <c r="U16" i="1"/>
  <c r="T18" i="1" l="1"/>
  <c r="U17" i="1"/>
</calcChain>
</file>

<file path=xl/sharedStrings.xml><?xml version="1.0" encoding="utf-8"?>
<sst xmlns="http://schemas.openxmlformats.org/spreadsheetml/2006/main" count="106" uniqueCount="73">
  <si>
    <t>LIB</t>
  </si>
  <si>
    <t>CAPEX</t>
  </si>
  <si>
    <t>OPEX</t>
  </si>
  <si>
    <t>Value</t>
  </si>
  <si>
    <t>Reasoning/Assumption/Reference</t>
  </si>
  <si>
    <t>Item</t>
  </si>
  <si>
    <t xml:space="preserve">Cost (£ millions) </t>
  </si>
  <si>
    <t>Cost (£ millions per annum)</t>
  </si>
  <si>
    <t>Number of Workers</t>
  </si>
  <si>
    <t>5% of Tesla Factory</t>
  </si>
  <si>
    <t>Land</t>
  </si>
  <si>
    <t>Workers</t>
  </si>
  <si>
    <t>Worker Salary (£ millions)</t>
  </si>
  <si>
    <t>Average Factory worker salary in China</t>
  </si>
  <si>
    <t>Equipment</t>
  </si>
  <si>
    <t>Materials</t>
  </si>
  <si>
    <t>Energy usage amount (kwh)</t>
  </si>
  <si>
    <t>Energy Usage of a large business</t>
  </si>
  <si>
    <t>Technology and Automation</t>
  </si>
  <si>
    <t>Energy Use</t>
  </si>
  <si>
    <t>Energy cost per kwh (£ millions)</t>
  </si>
  <si>
    <t>Cost of Energy per kwh for Large business</t>
  </si>
  <si>
    <t>Cosntruction and Renovation</t>
  </si>
  <si>
    <t>Maintenance and Repairs</t>
  </si>
  <si>
    <t>LIB Market Share</t>
  </si>
  <si>
    <t>Market Share for LIBs</t>
  </si>
  <si>
    <r>
      <rPr>
        <sz val="11"/>
        <color rgb="FF000000"/>
        <rFont val="Aptos Narrow"/>
        <scheme val="minor"/>
      </rPr>
      <t xml:space="preserve">Project </t>
    </r>
    <r>
      <rPr>
        <b/>
        <sz val="11"/>
        <color rgb="FF000000"/>
        <rFont val="Aptos Narrow"/>
        <scheme val="minor"/>
      </rPr>
      <t>LIB</t>
    </r>
  </si>
  <si>
    <r>
      <rPr>
        <sz val="11"/>
        <color rgb="FF000000"/>
        <rFont val="Aptos Narrow"/>
        <scheme val="minor"/>
      </rPr>
      <t xml:space="preserve">Project </t>
    </r>
    <r>
      <rPr>
        <b/>
        <sz val="11"/>
        <color rgb="FF000000"/>
        <rFont val="Aptos Narrow"/>
        <scheme val="minor"/>
      </rPr>
      <t>NiCadB</t>
    </r>
  </si>
  <si>
    <t>Marketing and Advertising</t>
  </si>
  <si>
    <t>Transportation and Logistics</t>
  </si>
  <si>
    <t>NiCadB Market Share</t>
  </si>
  <si>
    <t>Market Share for NiCadBs</t>
  </si>
  <si>
    <t>Project LIB</t>
  </si>
  <si>
    <t>Project NiCad</t>
  </si>
  <si>
    <t>Year</t>
  </si>
  <si>
    <t>Cash Flow</t>
  </si>
  <si>
    <t>PV</t>
  </si>
  <si>
    <t>NPV</t>
  </si>
  <si>
    <t>Employee Training</t>
  </si>
  <si>
    <t>Compliance and Regulations</t>
  </si>
  <si>
    <t>Company Share of Market (%)</t>
  </si>
  <si>
    <t>Assumption of how much the company shares of the Market</t>
  </si>
  <si>
    <t>Capex</t>
  </si>
  <si>
    <t>Waste Management</t>
  </si>
  <si>
    <t>Number of LIBs Sold</t>
  </si>
  <si>
    <t>Assumed from the LIB Market share, Company Market Share and cost of battery</t>
  </si>
  <si>
    <t>Opex</t>
  </si>
  <si>
    <t>Research and Development</t>
  </si>
  <si>
    <t xml:space="preserve">Number of NiCadBs Sold </t>
  </si>
  <si>
    <t>Assumed from the NiCadB Market share, Company Market Share and cost of battery</t>
  </si>
  <si>
    <t>Income</t>
  </si>
  <si>
    <t>Total</t>
  </si>
  <si>
    <t>Cost of Battery Materials LIB (£)</t>
  </si>
  <si>
    <r>
      <rPr>
        <sz val="11"/>
        <color rgb="FF000000"/>
        <rFont val="Aptos Narrow"/>
        <scheme val="minor"/>
      </rPr>
      <t xml:space="preserve">From the </t>
    </r>
    <r>
      <rPr>
        <b/>
        <sz val="11"/>
        <color rgb="FF000000"/>
        <rFont val="Aptos Narrow"/>
        <scheme val="minor"/>
      </rPr>
      <t>Battery Cost Table</t>
    </r>
  </si>
  <si>
    <t>Interest Rate</t>
  </si>
  <si>
    <t>Markup of Battery (%)</t>
  </si>
  <si>
    <t xml:space="preserve">Assumed a 15% markup </t>
  </si>
  <si>
    <t>Discount Factor</t>
  </si>
  <si>
    <t>Final Cost of LIB (£)</t>
  </si>
  <si>
    <t>Cost of LIB after Markup</t>
  </si>
  <si>
    <t>Cost of Battery Materials NiCadB (£)</t>
  </si>
  <si>
    <t>From the Battery Cost Table</t>
  </si>
  <si>
    <t>Net Return of Investment</t>
  </si>
  <si>
    <t>Payback Time</t>
  </si>
  <si>
    <t>Final Cost of NiCadB (£)</t>
  </si>
  <si>
    <t xml:space="preserve">Return on Investment </t>
  </si>
  <si>
    <t>Percent of Battery Wasted</t>
  </si>
  <si>
    <t>Assumed 1 in every 200 battery was thrown to waste/discarded</t>
  </si>
  <si>
    <t>Net Present Value</t>
  </si>
  <si>
    <t>Land Size (Acres)</t>
  </si>
  <si>
    <t>Cost of Land per Acre (£)</t>
  </si>
  <si>
    <t>Cost of Land per acre</t>
  </si>
  <si>
    <t>NiCad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</si>
</sst>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88CEA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D919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1"/>
    <xf numFmtId="0" fontId="0" fillId="9" borderId="1" xfId="0" applyFill="1" applyBorder="1"/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9" fontId="0" fillId="11" borderId="1" xfId="0" applyNumberFormat="1" applyFill="1" applyBorder="1" applyAlignment="1">
      <alignment vertical="center"/>
    </xf>
    <xf numFmtId="9" fontId="0" fillId="12" borderId="1" xfId="0" applyNumberFormat="1" applyFill="1" applyBorder="1" applyAlignment="1">
      <alignment vertical="center"/>
    </xf>
    <xf numFmtId="2" fontId="0" fillId="11" borderId="1" xfId="0" applyNumberFormat="1" applyFill="1" applyBorder="1" applyAlignment="1">
      <alignment vertical="center"/>
    </xf>
    <xf numFmtId="2" fontId="0" fillId="12" borderId="1" xfId="0" applyNumberFormat="1" applyFill="1" applyBorder="1" applyAlignment="1">
      <alignment vertical="center"/>
    </xf>
    <xf numFmtId="0" fontId="0" fillId="14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91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LIB OPEX - Cost (£ millions per annum)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Data!$L$4</c:f>
              <c:strCache>
                <c:ptCount val="1"/>
                <c:pt idx="0">
                  <c:v>Cost (£ millions per annum)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Data!$K$5:$K$12</c:f>
              <c:strCache>
                <c:ptCount val="8"/>
                <c:pt idx="0">
                  <c:v>Workers</c:v>
                </c:pt>
                <c:pt idx="1">
                  <c:v>Materials</c:v>
                </c:pt>
                <c:pt idx="2">
                  <c:v>Energy Use</c:v>
                </c:pt>
                <c:pt idx="3">
                  <c:v>Maintenance and Repairs</c:v>
                </c:pt>
                <c:pt idx="4">
                  <c:v>Transportation and Logistics</c:v>
                </c:pt>
                <c:pt idx="5">
                  <c:v>Compliance and Regulations</c:v>
                </c:pt>
                <c:pt idx="6">
                  <c:v>Waste Management</c:v>
                </c:pt>
                <c:pt idx="7">
                  <c:v>Research and Development</c:v>
                </c:pt>
              </c:strCache>
            </c:strRef>
          </c:cat>
          <c:val>
            <c:numRef>
              <c:f>Data!$L$5:$L$12</c:f>
              <c:numCache>
                <c:formatCode>General</c:formatCode>
                <c:ptCount val="8"/>
                <c:pt idx="0">
                  <c:v>6.4140000000000006</c:v>
                </c:pt>
                <c:pt idx="1">
                  <c:v>44.2</c:v>
                </c:pt>
                <c:pt idx="2">
                  <c:v>5.8859430000000001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EC-4669-B1DC-C1D000C4B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549255"/>
        <c:axId val="407425031"/>
      </c:barChart>
      <c:catAx>
        <c:axId val="394549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425031"/>
        <c:crosses val="autoZero"/>
        <c:auto val="1"/>
        <c:lblAlgn val="ctr"/>
        <c:lblOffset val="100"/>
        <c:noMultiLvlLbl val="0"/>
      </c:catAx>
      <c:valAx>
        <c:axId val="407425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549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LIB CAPEX - Cost (£ millions)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Data!$J$4</c:f>
              <c:strCache>
                <c:ptCount val="1"/>
                <c:pt idx="0">
                  <c:v>Cost (£ millions)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Data!$I$5:$I$10</c:f>
              <c:strCache>
                <c:ptCount val="6"/>
                <c:pt idx="0">
                  <c:v>Land</c:v>
                </c:pt>
                <c:pt idx="1">
                  <c:v>Equipment</c:v>
                </c:pt>
                <c:pt idx="2">
                  <c:v>Technology and Automation</c:v>
                </c:pt>
                <c:pt idx="3">
                  <c:v>Cosntruction and Renovation</c:v>
                </c:pt>
                <c:pt idx="4">
                  <c:v>Marketing and Advertising</c:v>
                </c:pt>
                <c:pt idx="5">
                  <c:v>Employee Training</c:v>
                </c:pt>
              </c:strCache>
            </c:strRef>
          </c:cat>
          <c:val>
            <c:numRef>
              <c:f>Data!$J$5:$J$10</c:f>
              <c:numCache>
                <c:formatCode>General</c:formatCode>
                <c:ptCount val="6"/>
                <c:pt idx="0">
                  <c:v>3.6695505000000002</c:v>
                </c:pt>
                <c:pt idx="1">
                  <c:v>9</c:v>
                </c:pt>
                <c:pt idx="2">
                  <c:v>12</c:v>
                </c:pt>
                <c:pt idx="3">
                  <c:v>5</c:v>
                </c:pt>
                <c:pt idx="4">
                  <c:v>0.5</c:v>
                </c:pt>
                <c:pt idx="5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AE-4BD3-8A4C-B6B0D9090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7482119"/>
        <c:axId val="1172689928"/>
      </c:barChart>
      <c:catAx>
        <c:axId val="587482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689928"/>
        <c:crosses val="autoZero"/>
        <c:auto val="1"/>
        <c:lblAlgn val="ctr"/>
        <c:lblOffset val="100"/>
        <c:noMultiLvlLbl val="0"/>
      </c:catAx>
      <c:valAx>
        <c:axId val="117268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82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Data!$W$9</c:f>
              <c:strCache>
                <c:ptCount val="1"/>
                <c:pt idx="0">
                  <c:v>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Data!$W$10:$W$20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167-48D2-A146-97AA9AA47A97}"/>
            </c:ext>
          </c:extLst>
        </c:ser>
        <c:ser>
          <c:idx val="1"/>
          <c:order val="1"/>
          <c:tx>
            <c:strRef>
              <c:f>Data!$X$9</c:f>
              <c:strCache>
                <c:ptCount val="1"/>
                <c:pt idx="0">
                  <c:v>Cash Flow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Data!$X$10:$X$20</c:f>
              <c:numCache>
                <c:formatCode>General</c:formatCode>
                <c:ptCount val="11"/>
                <c:pt idx="0">
                  <c:v>-30259550.5</c:v>
                </c:pt>
                <c:pt idx="1">
                  <c:v>6166507.0489600003</c:v>
                </c:pt>
                <c:pt idx="2">
                  <c:v>6166507.0489600003</c:v>
                </c:pt>
                <c:pt idx="3">
                  <c:v>6166507.0489600003</c:v>
                </c:pt>
                <c:pt idx="4">
                  <c:v>6166507.0489600003</c:v>
                </c:pt>
                <c:pt idx="5">
                  <c:v>6166507.0489600003</c:v>
                </c:pt>
                <c:pt idx="6">
                  <c:v>6166507.0489600003</c:v>
                </c:pt>
                <c:pt idx="7">
                  <c:v>6166507.0489600003</c:v>
                </c:pt>
                <c:pt idx="8">
                  <c:v>6166507.0489600003</c:v>
                </c:pt>
                <c:pt idx="9">
                  <c:v>6166507.0489600003</c:v>
                </c:pt>
                <c:pt idx="10">
                  <c:v>6166507.0489600003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167-48D2-A146-97AA9AA47A97}"/>
            </c:ext>
          </c:extLst>
        </c:ser>
        <c:ser>
          <c:idx val="2"/>
          <c:order val="2"/>
          <c:tx>
            <c:strRef>
              <c:f>Data!$Y$9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Data!$Y$10:$Y$20</c:f>
              <c:numCache>
                <c:formatCode>0.00</c:formatCode>
                <c:ptCount val="11"/>
                <c:pt idx="0" formatCode="0">
                  <c:v>-30259550.5</c:v>
                </c:pt>
                <c:pt idx="1">
                  <c:v>5872863.8561523808</c:v>
                </c:pt>
                <c:pt idx="2">
                  <c:v>5593203.6725260774</c:v>
                </c:pt>
                <c:pt idx="3">
                  <c:v>5326860.6405010261</c:v>
                </c:pt>
                <c:pt idx="4">
                  <c:v>5073200.6100009764</c:v>
                </c:pt>
                <c:pt idx="5">
                  <c:v>4831619.6285723578</c:v>
                </c:pt>
                <c:pt idx="6">
                  <c:v>4601542.5034022462</c:v>
                </c:pt>
                <c:pt idx="7">
                  <c:v>4382421.4318116624</c:v>
                </c:pt>
                <c:pt idx="8">
                  <c:v>4173734.6969634881</c:v>
                </c:pt>
                <c:pt idx="9">
                  <c:v>3974985.4256795123</c:v>
                </c:pt>
                <c:pt idx="10">
                  <c:v>3785700.405409059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167-48D2-A146-97AA9AA47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162375"/>
        <c:axId val="407164423"/>
      </c:lineChart>
      <c:catAx>
        <c:axId val="407162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164423"/>
        <c:crosses val="autoZero"/>
        <c:auto val="1"/>
        <c:lblAlgn val="ctr"/>
        <c:lblOffset val="100"/>
        <c:noMultiLvlLbl val="0"/>
      </c:catAx>
      <c:valAx>
        <c:axId val="407164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162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Data!$AA$9</c:f>
              <c:strCache>
                <c:ptCount val="1"/>
                <c:pt idx="0">
                  <c:v>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Data!$AA$10:$AA$20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65-423A-A205-98644A5AEC15}"/>
            </c:ext>
          </c:extLst>
        </c:ser>
        <c:ser>
          <c:idx val="1"/>
          <c:order val="1"/>
          <c:tx>
            <c:strRef>
              <c:f>Data!$AB$9</c:f>
              <c:strCache>
                <c:ptCount val="1"/>
                <c:pt idx="0">
                  <c:v>Cash Flow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Data!$AB$10:$AB$20</c:f>
              <c:numCache>
                <c:formatCode>General</c:formatCode>
                <c:ptCount val="11"/>
                <c:pt idx="0">
                  <c:v>-28259550.5</c:v>
                </c:pt>
                <c:pt idx="1">
                  <c:v>-19843766.436034232</c:v>
                </c:pt>
                <c:pt idx="2">
                  <c:v>-19843766.436034232</c:v>
                </c:pt>
                <c:pt idx="3">
                  <c:v>-19843766.436034232</c:v>
                </c:pt>
                <c:pt idx="4">
                  <c:v>-19843766.436034232</c:v>
                </c:pt>
                <c:pt idx="5">
                  <c:v>-19843766.436034232</c:v>
                </c:pt>
                <c:pt idx="6">
                  <c:v>-19843766.436034232</c:v>
                </c:pt>
                <c:pt idx="7">
                  <c:v>-19843766.436034232</c:v>
                </c:pt>
                <c:pt idx="8">
                  <c:v>-19843766.436034232</c:v>
                </c:pt>
                <c:pt idx="9">
                  <c:v>-19843766.436034232</c:v>
                </c:pt>
                <c:pt idx="10">
                  <c:v>-19843766.436034232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65-423A-A205-98644A5AEC15}"/>
            </c:ext>
          </c:extLst>
        </c:ser>
        <c:ser>
          <c:idx val="2"/>
          <c:order val="2"/>
          <c:tx>
            <c:strRef>
              <c:f>Data!$AC$9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Data!$AC$10:$AC$20</c:f>
              <c:numCache>
                <c:formatCode>0.00</c:formatCode>
                <c:ptCount val="11"/>
                <c:pt idx="0" formatCode="0">
                  <c:v>-28259550.5</c:v>
                </c:pt>
                <c:pt idx="1">
                  <c:v>-18898825.177175459</c:v>
                </c:pt>
                <c:pt idx="2">
                  <c:v>-17998881.121119484</c:v>
                </c:pt>
                <c:pt idx="3">
                  <c:v>-17141791.543923318</c:v>
                </c:pt>
                <c:pt idx="4">
                  <c:v>-16325515.756117444</c:v>
                </c:pt>
                <c:pt idx="5">
                  <c:v>-15548110.243921375</c:v>
                </c:pt>
                <c:pt idx="6">
                  <c:v>-14807724.04182988</c:v>
                </c:pt>
                <c:pt idx="7">
                  <c:v>-14102594.325552266</c:v>
                </c:pt>
                <c:pt idx="8">
                  <c:v>-13431042.214811681</c:v>
                </c:pt>
                <c:pt idx="9">
                  <c:v>-12791468.776011126</c:v>
                </c:pt>
                <c:pt idx="10">
                  <c:v>-12182351.215248689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065-423A-A205-98644A5AE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464711"/>
        <c:axId val="1394847751"/>
      </c:lineChart>
      <c:catAx>
        <c:axId val="587464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847751"/>
        <c:crosses val="autoZero"/>
        <c:auto val="1"/>
        <c:lblAlgn val="ctr"/>
        <c:lblOffset val="100"/>
        <c:noMultiLvlLbl val="0"/>
      </c:catAx>
      <c:valAx>
        <c:axId val="1394847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64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NiCadB OPEX Cost (£ millions per annum)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Data!$L$29</c:f>
              <c:strCache>
                <c:ptCount val="1"/>
                <c:pt idx="0">
                  <c:v>Cost (£ millions per annum)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Data!$K$30:$K$37</c:f>
              <c:strCache>
                <c:ptCount val="8"/>
                <c:pt idx="0">
                  <c:v>Workers</c:v>
                </c:pt>
                <c:pt idx="1">
                  <c:v>Materials</c:v>
                </c:pt>
                <c:pt idx="2">
                  <c:v>Energy Use</c:v>
                </c:pt>
                <c:pt idx="3">
                  <c:v>Maintenance and Repairs</c:v>
                </c:pt>
                <c:pt idx="4">
                  <c:v>Transportation and Logistics</c:v>
                </c:pt>
                <c:pt idx="5">
                  <c:v>Compliance and Regulations</c:v>
                </c:pt>
                <c:pt idx="6">
                  <c:v>Waste Management</c:v>
                </c:pt>
                <c:pt idx="7">
                  <c:v>Research and Development</c:v>
                </c:pt>
              </c:strCache>
            </c:strRef>
          </c:cat>
          <c:val>
            <c:numRef>
              <c:f>Data!$L$30:$L$37</c:f>
              <c:numCache>
                <c:formatCode>General</c:formatCode>
                <c:ptCount val="8"/>
                <c:pt idx="0">
                  <c:v>6.4140000000000006</c:v>
                </c:pt>
                <c:pt idx="1">
                  <c:v>3.6737300312342303</c:v>
                </c:pt>
                <c:pt idx="2">
                  <c:v>5.8859430000000001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91-44D2-82DD-98D3FA720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926152"/>
        <c:axId val="193928200"/>
      </c:barChart>
      <c:catAx>
        <c:axId val="193926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28200"/>
        <c:crosses val="autoZero"/>
        <c:auto val="1"/>
        <c:lblAlgn val="ctr"/>
        <c:lblOffset val="100"/>
        <c:noMultiLvlLbl val="0"/>
      </c:catAx>
      <c:valAx>
        <c:axId val="193928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26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Present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LIBs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Data!$Y$10:$Y$20</c:f>
              <c:numCache>
                <c:formatCode>0.00</c:formatCode>
                <c:ptCount val="11"/>
                <c:pt idx="0" formatCode="0">
                  <c:v>-30259550.5</c:v>
                </c:pt>
                <c:pt idx="1">
                  <c:v>5872863.8561523808</c:v>
                </c:pt>
                <c:pt idx="2">
                  <c:v>5593203.6725260774</c:v>
                </c:pt>
                <c:pt idx="3">
                  <c:v>5326860.6405010261</c:v>
                </c:pt>
                <c:pt idx="4">
                  <c:v>5073200.6100009764</c:v>
                </c:pt>
                <c:pt idx="5">
                  <c:v>4831619.6285723578</c:v>
                </c:pt>
                <c:pt idx="6">
                  <c:v>4601542.5034022462</c:v>
                </c:pt>
                <c:pt idx="7">
                  <c:v>4382421.4318116624</c:v>
                </c:pt>
                <c:pt idx="8">
                  <c:v>4173734.6969634881</c:v>
                </c:pt>
                <c:pt idx="9">
                  <c:v>3974985.4256795123</c:v>
                </c:pt>
                <c:pt idx="10">
                  <c:v>3785700.405409059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F9-4190-A4A0-C1DB63CE8F23}"/>
            </c:ext>
          </c:extLst>
        </c:ser>
        <c:ser>
          <c:idx val="2"/>
          <c:order val="1"/>
          <c:tx>
            <c:v>NiCadBs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Data!$AC$10:$AC$20</c:f>
              <c:numCache>
                <c:formatCode>0.00</c:formatCode>
                <c:ptCount val="11"/>
                <c:pt idx="0" formatCode="0">
                  <c:v>-28259550.5</c:v>
                </c:pt>
                <c:pt idx="1">
                  <c:v>-18898825.177175459</c:v>
                </c:pt>
                <c:pt idx="2">
                  <c:v>-17998881.121119484</c:v>
                </c:pt>
                <c:pt idx="3">
                  <c:v>-17141791.543923318</c:v>
                </c:pt>
                <c:pt idx="4">
                  <c:v>-16325515.756117444</c:v>
                </c:pt>
                <c:pt idx="5">
                  <c:v>-15548110.243921375</c:v>
                </c:pt>
                <c:pt idx="6">
                  <c:v>-14807724.04182988</c:v>
                </c:pt>
                <c:pt idx="7">
                  <c:v>-14102594.325552266</c:v>
                </c:pt>
                <c:pt idx="8">
                  <c:v>-13431042.214811681</c:v>
                </c:pt>
                <c:pt idx="9">
                  <c:v>-12791468.776011126</c:v>
                </c:pt>
                <c:pt idx="10">
                  <c:v>-12182351.215248689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F9-4190-A4A0-C1DB63CE8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04072"/>
        <c:axId val="196522504"/>
      </c:lineChart>
      <c:catAx>
        <c:axId val="196504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22504"/>
        <c:crosses val="autoZero"/>
        <c:auto val="1"/>
        <c:lblAlgn val="ctr"/>
        <c:lblOffset val="100"/>
        <c:noMultiLvlLbl val="0"/>
      </c:catAx>
      <c:valAx>
        <c:axId val="19652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0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624956255468067"/>
          <c:y val="0.89062445319335082"/>
          <c:w val="0.3158009623797025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- LIB vs NiCadB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Data!$Z$10:$Z$20</c:f>
              <c:numCache>
                <c:formatCode>0.00</c:formatCode>
                <c:ptCount val="11"/>
                <c:pt idx="0" formatCode="0">
                  <c:v>-30259550.5</c:v>
                </c:pt>
                <c:pt idx="1">
                  <c:v>-24386686.643847618</c:v>
                </c:pt>
                <c:pt idx="2">
                  <c:v>-18793482.971321542</c:v>
                </c:pt>
                <c:pt idx="3">
                  <c:v>-13466622.330820516</c:v>
                </c:pt>
                <c:pt idx="4">
                  <c:v>-8393421.7208195403</c:v>
                </c:pt>
                <c:pt idx="5">
                  <c:v>-3561802.0922471825</c:v>
                </c:pt>
                <c:pt idx="6">
                  <c:v>1039740.4111550637</c:v>
                </c:pt>
                <c:pt idx="7">
                  <c:v>5422161.842966726</c:v>
                </c:pt>
                <c:pt idx="8">
                  <c:v>9595896.5399302132</c:v>
                </c:pt>
                <c:pt idx="9">
                  <c:v>13570881.965609726</c:v>
                </c:pt>
                <c:pt idx="10">
                  <c:v>17356582.371018786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D9-40BD-A9E9-97597367D83C}"/>
            </c:ext>
          </c:extLst>
        </c:ser>
        <c:ser>
          <c:idx val="1"/>
          <c:order val="1"/>
          <c:tx>
            <c:v>NiCadB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Data!$AD$10:$AD$20</c:f>
              <c:numCache>
                <c:formatCode>0.00</c:formatCode>
                <c:ptCount val="11"/>
                <c:pt idx="0" formatCode="0">
                  <c:v>-28259550.5</c:v>
                </c:pt>
                <c:pt idx="1">
                  <c:v>-47158375.677175462</c:v>
                </c:pt>
                <c:pt idx="2">
                  <c:v>-65157256.798294947</c:v>
                </c:pt>
                <c:pt idx="3">
                  <c:v>-82299048.342218265</c:v>
                </c:pt>
                <c:pt idx="4">
                  <c:v>-98624564.098335713</c:v>
                </c:pt>
                <c:pt idx="5">
                  <c:v>-114172674.34225708</c:v>
                </c:pt>
                <c:pt idx="6">
                  <c:v>-128980398.38408697</c:v>
                </c:pt>
                <c:pt idx="7">
                  <c:v>-143082992.70963922</c:v>
                </c:pt>
                <c:pt idx="8">
                  <c:v>-156514034.9244509</c:v>
                </c:pt>
                <c:pt idx="9">
                  <c:v>-169305503.70046204</c:v>
                </c:pt>
                <c:pt idx="10">
                  <c:v>-181487854.91571075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D9-40BD-A9E9-97597367D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859592"/>
        <c:axId val="97865736"/>
      </c:lineChart>
      <c:catAx>
        <c:axId val="97859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65736"/>
        <c:crosses val="autoZero"/>
        <c:auto val="1"/>
        <c:lblAlgn val="ctr"/>
        <c:lblOffset val="100"/>
        <c:noMultiLvlLbl val="0"/>
      </c:catAx>
      <c:valAx>
        <c:axId val="9786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59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13</xdr:row>
      <xdr:rowOff>57150</xdr:rowOff>
    </xdr:from>
    <xdr:to>
      <xdr:col>11</xdr:col>
      <xdr:colOff>1562100</xdr:colOff>
      <xdr:row>25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824FB5-D401-A876-BE9B-899C9911D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695325</xdr:colOff>
      <xdr:row>13</xdr:row>
      <xdr:rowOff>104775</xdr:rowOff>
    </xdr:from>
    <xdr:to>
      <xdr:col>9</xdr:col>
      <xdr:colOff>1028700</xdr:colOff>
      <xdr:row>22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2B2BF6-1714-2C1F-49E3-B9867BF14B65}"/>
            </a:ext>
            <a:ext uri="{147F2762-F138-4A5C-976F-8EAC2B608ADB}">
              <a16:predDERef xmlns:a16="http://schemas.microsoft.com/office/drawing/2014/main" pred="{4D824FB5-D401-A876-BE9B-899C9911D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790575</xdr:colOff>
      <xdr:row>22</xdr:row>
      <xdr:rowOff>47625</xdr:rowOff>
    </xdr:from>
    <xdr:to>
      <xdr:col>27</xdr:col>
      <xdr:colOff>66675</xdr:colOff>
      <xdr:row>36</xdr:row>
      <xdr:rowOff>123825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D13CCB3-EF89-C2EE-0916-73E0F5E85BB0}"/>
            </a:ext>
            <a:ext uri="{147F2762-F138-4A5C-976F-8EAC2B608ADB}">
              <a16:predDERef xmlns:a16="http://schemas.microsoft.com/office/drawing/2014/main" pred="{A92B2BF6-1714-2C1F-49E3-B9867BF14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371475</xdr:colOff>
      <xdr:row>22</xdr:row>
      <xdr:rowOff>19050</xdr:rowOff>
    </xdr:from>
    <xdr:to>
      <xdr:col>29</xdr:col>
      <xdr:colOff>2762250</xdr:colOff>
      <xdr:row>36</xdr:row>
      <xdr:rowOff>95250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A454A44-92A9-38C3-A8F0-0D1263BFA3E0}"/>
            </a:ext>
            <a:ext uri="{147F2762-F138-4A5C-976F-8EAC2B608ADB}">
              <a16:predDERef xmlns:a16="http://schemas.microsoft.com/office/drawing/2014/main" pred="{7D13CCB3-EF89-C2EE-0916-73E0F5E85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304800</xdr:colOff>
      <xdr:row>49</xdr:row>
      <xdr:rowOff>38100</xdr:rowOff>
    </xdr:from>
    <xdr:to>
      <xdr:col>14</xdr:col>
      <xdr:colOff>1971675</xdr:colOff>
      <xdr:row>78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AD0FDF-ADA5-2EF1-B585-C2E4BB517338}"/>
            </a:ext>
            <a:ext uri="{147F2762-F138-4A5C-976F-8EAC2B608ADB}">
              <a16:predDERef xmlns:a16="http://schemas.microsoft.com/office/drawing/2014/main" pred="{7A454A44-92A9-38C3-A8F0-0D1263BFA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2876550</xdr:colOff>
      <xdr:row>22</xdr:row>
      <xdr:rowOff>114300</xdr:rowOff>
    </xdr:from>
    <xdr:to>
      <xdr:col>19</xdr:col>
      <xdr:colOff>228600</xdr:colOff>
      <xdr:row>37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51C4AF-079D-B57A-4D05-4C4F77388271}"/>
            </a:ext>
            <a:ext uri="{147F2762-F138-4A5C-976F-8EAC2B608ADB}">
              <a16:predDERef xmlns:a16="http://schemas.microsoft.com/office/drawing/2014/main" pred="{73AD0FDF-ADA5-2EF1-B585-C2E4BB517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66675</xdr:colOff>
      <xdr:row>7</xdr:row>
      <xdr:rowOff>47625</xdr:rowOff>
    </xdr:from>
    <xdr:to>
      <xdr:col>35</xdr:col>
      <xdr:colOff>466725</xdr:colOff>
      <xdr:row>21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3A7FA2B-93C3-98DF-B4F0-F7CF90938EBB}"/>
            </a:ext>
            <a:ext uri="{147F2762-F138-4A5C-976F-8EAC2B608ADB}">
              <a16:predDERef xmlns:a16="http://schemas.microsoft.com/office/drawing/2014/main" pred="{1651C4AF-079D-B57A-4D05-4C4F77388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CF3F-02B2-4AB8-8226-82F4CCB43D65}">
  <dimension ref="F2:AD38"/>
  <sheetViews>
    <sheetView tabSelected="1" topLeftCell="X5" zoomScaleNormal="100" workbookViewId="0">
      <selection activeCell="AF24" sqref="AF24"/>
    </sheetView>
  </sheetViews>
  <sheetFormatPr defaultRowHeight="15"/>
  <cols>
    <col min="8" max="8" width="14.85546875" bestFit="1" customWidth="1"/>
    <col min="9" max="9" width="26.5703125" bestFit="1" customWidth="1"/>
    <col min="10" max="10" width="15.7109375" bestFit="1" customWidth="1"/>
    <col min="11" max="11" width="41.140625" bestFit="1" customWidth="1"/>
    <col min="12" max="12" width="25.140625" bestFit="1" customWidth="1"/>
    <col min="14" max="14" width="6.28515625" customWidth="1"/>
    <col min="15" max="15" width="33.42578125" customWidth="1"/>
    <col min="16" max="16" width="17.28515625" customWidth="1"/>
    <col min="17" max="17" width="74.28515625" bestFit="1" customWidth="1"/>
    <col min="18" max="18" width="11.28515625" bestFit="1" customWidth="1"/>
    <col min="19" max="19" width="22.7109375" bestFit="1" customWidth="1"/>
    <col min="20" max="20" width="13.85546875" customWidth="1"/>
    <col min="21" max="21" width="16" customWidth="1"/>
    <col min="22" max="22" width="12.5703125" bestFit="1" customWidth="1"/>
    <col min="23" max="23" width="10.85546875" customWidth="1"/>
    <col min="24" max="24" width="16.42578125" customWidth="1"/>
    <col min="25" max="26" width="15.42578125" customWidth="1"/>
    <col min="27" max="27" width="8.140625" customWidth="1"/>
    <col min="28" max="28" width="15.5703125" customWidth="1"/>
    <col min="29" max="29" width="17.140625" customWidth="1"/>
    <col min="30" max="30" width="14.42578125" bestFit="1" customWidth="1"/>
    <col min="31" max="31" width="26" bestFit="1" customWidth="1"/>
  </cols>
  <sheetData>
    <row r="2" spans="9:30">
      <c r="I2" s="34" t="s">
        <v>0</v>
      </c>
      <c r="J2" s="35"/>
      <c r="K2" s="35"/>
      <c r="L2" s="36"/>
    </row>
    <row r="3" spans="9:30">
      <c r="I3" s="37" t="s">
        <v>1</v>
      </c>
      <c r="J3" s="38"/>
      <c r="K3" s="39" t="s">
        <v>2</v>
      </c>
      <c r="L3" s="40"/>
      <c r="O3" s="14"/>
      <c r="P3" s="15" t="s">
        <v>3</v>
      </c>
      <c r="Q3" s="13" t="s">
        <v>4</v>
      </c>
    </row>
    <row r="4" spans="9:30">
      <c r="I4" s="5" t="s">
        <v>5</v>
      </c>
      <c r="J4" s="5" t="s">
        <v>6</v>
      </c>
      <c r="K4" s="6" t="s">
        <v>5</v>
      </c>
      <c r="L4" s="5" t="s">
        <v>7</v>
      </c>
      <c r="N4" s="1"/>
      <c r="O4" s="10" t="s">
        <v>8</v>
      </c>
      <c r="P4" s="15">
        <v>1000</v>
      </c>
      <c r="Q4" s="13" t="s">
        <v>9</v>
      </c>
      <c r="S4" s="1"/>
      <c r="T4" s="1"/>
      <c r="U4" s="1"/>
      <c r="V4" s="1"/>
    </row>
    <row r="5" spans="9:30">
      <c r="I5" s="18" t="s">
        <v>10</v>
      </c>
      <c r="J5" s="19">
        <f>(P20 * P21)/1000000</f>
        <v>3.6695505000000002</v>
      </c>
      <c r="K5" s="15" t="s">
        <v>11</v>
      </c>
      <c r="L5" s="20">
        <f>P5 * P4</f>
        <v>6.4140000000000006</v>
      </c>
      <c r="O5" s="10" t="s">
        <v>12</v>
      </c>
      <c r="P5" s="15">
        <v>6.4140000000000004E-3</v>
      </c>
      <c r="Q5" s="13" t="s">
        <v>13</v>
      </c>
    </row>
    <row r="6" spans="9:30">
      <c r="I6" s="18" t="s">
        <v>14</v>
      </c>
      <c r="J6" s="19">
        <v>9</v>
      </c>
      <c r="K6" s="15" t="s">
        <v>15</v>
      </c>
      <c r="L6" s="20">
        <f>(P13 * O23)/1000000</f>
        <v>44.2</v>
      </c>
      <c r="O6" s="10" t="s">
        <v>16</v>
      </c>
      <c r="P6" s="16">
        <v>42042450</v>
      </c>
      <c r="Q6" s="13" t="s">
        <v>17</v>
      </c>
      <c r="AA6" s="7"/>
    </row>
    <row r="7" spans="9:30">
      <c r="I7" s="18" t="s">
        <v>18</v>
      </c>
      <c r="J7" s="19">
        <v>12</v>
      </c>
      <c r="K7" s="15" t="s">
        <v>19</v>
      </c>
      <c r="L7" s="20">
        <f xml:space="preserve"> P6 * P7</f>
        <v>5.8859430000000001</v>
      </c>
      <c r="O7" s="10" t="s">
        <v>20</v>
      </c>
      <c r="P7" s="15">
        <v>1.4000000000000001E-7</v>
      </c>
      <c r="Q7" s="13" t="s">
        <v>21</v>
      </c>
    </row>
    <row r="8" spans="9:30">
      <c r="I8" s="18" t="s">
        <v>22</v>
      </c>
      <c r="J8" s="19">
        <v>5</v>
      </c>
      <c r="K8" s="15" t="s">
        <v>23</v>
      </c>
      <c r="L8" s="20">
        <v>1</v>
      </c>
      <c r="O8" s="10" t="s">
        <v>24</v>
      </c>
      <c r="P8" s="15">
        <v>43112640480</v>
      </c>
      <c r="Q8" s="13" t="s">
        <v>25</v>
      </c>
      <c r="W8" s="41" t="s">
        <v>26</v>
      </c>
      <c r="X8" s="42"/>
      <c r="Y8" s="42"/>
      <c r="Z8" s="33"/>
      <c r="AA8" s="41" t="s">
        <v>27</v>
      </c>
      <c r="AB8" s="42"/>
      <c r="AC8" s="42"/>
    </row>
    <row r="9" spans="9:30">
      <c r="I9" s="18" t="s">
        <v>28</v>
      </c>
      <c r="J9" s="19">
        <v>0.5</v>
      </c>
      <c r="K9" s="15" t="s">
        <v>29</v>
      </c>
      <c r="L9" s="20">
        <v>2</v>
      </c>
      <c r="O9" s="10" t="s">
        <v>30</v>
      </c>
      <c r="P9" s="15">
        <v>1579217600</v>
      </c>
      <c r="Q9" s="13" t="s">
        <v>31</v>
      </c>
      <c r="S9" s="24"/>
      <c r="T9" s="25" t="s">
        <v>32</v>
      </c>
      <c r="U9" s="25" t="s">
        <v>33</v>
      </c>
      <c r="W9" s="4" t="s">
        <v>34</v>
      </c>
      <c r="X9" s="11" t="s">
        <v>35</v>
      </c>
      <c r="Y9" s="12" t="s">
        <v>36</v>
      </c>
      <c r="Z9" s="12" t="s">
        <v>37</v>
      </c>
      <c r="AA9" s="4" t="s">
        <v>34</v>
      </c>
      <c r="AB9" s="11" t="s">
        <v>35</v>
      </c>
      <c r="AC9" s="12" t="s">
        <v>36</v>
      </c>
      <c r="AD9" s="12" t="s">
        <v>37</v>
      </c>
    </row>
    <row r="10" spans="9:30">
      <c r="I10" s="18" t="s">
        <v>38</v>
      </c>
      <c r="J10" s="19">
        <v>0.09</v>
      </c>
      <c r="K10" s="15" t="s">
        <v>39</v>
      </c>
      <c r="L10" s="20">
        <v>1</v>
      </c>
      <c r="O10" s="10" t="s">
        <v>40</v>
      </c>
      <c r="P10" s="15">
        <v>0.13350000000000001</v>
      </c>
      <c r="Q10" s="13" t="s">
        <v>41</v>
      </c>
      <c r="S10" s="26" t="s">
        <v>42</v>
      </c>
      <c r="T10" s="27">
        <f>J13 * 1000000</f>
        <v>30259550.5</v>
      </c>
      <c r="U10" s="28">
        <f>J38  *10^6</f>
        <v>28259550.5</v>
      </c>
      <c r="W10" s="10">
        <v>0</v>
      </c>
      <c r="X10" s="21">
        <f>-T10</f>
        <v>-30259550.5</v>
      </c>
      <c r="Y10" s="22">
        <f>X10*$T$14^W10</f>
        <v>-30259550.5</v>
      </c>
      <c r="Z10" s="22">
        <f>Y10</f>
        <v>-30259550.5</v>
      </c>
      <c r="AA10" s="10">
        <v>0</v>
      </c>
      <c r="AB10" s="21">
        <f>-U10</f>
        <v>-28259550.5</v>
      </c>
      <c r="AC10" s="22">
        <f>AB10*$T$14^AA10</f>
        <v>-28259550.5</v>
      </c>
      <c r="AD10" s="22">
        <f>AC10</f>
        <v>-28259550.5</v>
      </c>
    </row>
    <row r="11" spans="9:30">
      <c r="I11" s="18"/>
      <c r="J11" s="19"/>
      <c r="K11" s="15" t="s">
        <v>43</v>
      </c>
      <c r="L11" s="20">
        <v>2</v>
      </c>
      <c r="O11" s="10" t="s">
        <v>44</v>
      </c>
      <c r="P11" s="15">
        <f>(P8 * (P10/100))/P13</f>
        <v>2604315.6127058822</v>
      </c>
      <c r="Q11" s="13" t="s">
        <v>45</v>
      </c>
      <c r="S11" s="26" t="s">
        <v>46</v>
      </c>
      <c r="T11" s="27">
        <f>L13 * 10^6</f>
        <v>62899943</v>
      </c>
      <c r="U11" s="28">
        <f>L38 * 10^6</f>
        <v>22373673.031234231</v>
      </c>
      <c r="W11" s="10">
        <v>1</v>
      </c>
      <c r="X11" s="21">
        <f>$T$12-$T$11</f>
        <v>6166507.0489600003</v>
      </c>
      <c r="Y11" s="23">
        <f>X11*$T$14^W11</f>
        <v>5872863.8561523808</v>
      </c>
      <c r="Z11" s="23">
        <f>Z10+Y11</f>
        <v>-24386686.643847618</v>
      </c>
      <c r="AA11" s="10">
        <v>1</v>
      </c>
      <c r="AB11" s="21">
        <f>$U$12-$U$11</f>
        <v>-19843766.436034232</v>
      </c>
      <c r="AC11" s="23">
        <f>AB11*$T$14^AA11</f>
        <v>-18898825.177175459</v>
      </c>
      <c r="AD11" s="23">
        <f>AD10+AC11</f>
        <v>-47158375.677175462</v>
      </c>
    </row>
    <row r="12" spans="9:30">
      <c r="I12" s="18"/>
      <c r="J12" s="19"/>
      <c r="K12" s="15" t="s">
        <v>47</v>
      </c>
      <c r="L12" s="20">
        <v>0.4</v>
      </c>
      <c r="O12" s="10" t="s">
        <v>48</v>
      </c>
      <c r="P12" s="15">
        <f>(P9 * (P10/100))/P16</f>
        <v>110960.81557894738</v>
      </c>
      <c r="Q12" s="13" t="s">
        <v>49</v>
      </c>
      <c r="S12" s="26" t="s">
        <v>50</v>
      </c>
      <c r="T12" s="27">
        <f>P15 * P11</f>
        <v>69066450.04896</v>
      </c>
      <c r="U12" s="28">
        <f>P18 * P12</f>
        <v>2529906.5952000003</v>
      </c>
      <c r="W12" s="10">
        <v>2</v>
      </c>
      <c r="X12" s="21">
        <f>$T$12-$T$11</f>
        <v>6166507.0489600003</v>
      </c>
      <c r="Y12" s="23">
        <f>X12*$T$14^W12</f>
        <v>5593203.6725260774</v>
      </c>
      <c r="Z12" s="23">
        <f t="shared" ref="Z12:Z20" si="0">Z11+Y12</f>
        <v>-18793482.971321542</v>
      </c>
      <c r="AA12" s="10">
        <v>2</v>
      </c>
      <c r="AB12" s="21">
        <f>$U$12-$U$11</f>
        <v>-19843766.436034232</v>
      </c>
      <c r="AC12" s="23">
        <f>AB12*$T$14^AA12</f>
        <v>-17998881.121119484</v>
      </c>
      <c r="AD12" s="23">
        <f t="shared" ref="AD12:AD20" si="1">AD11+AC12</f>
        <v>-65157256.798294947</v>
      </c>
    </row>
    <row r="13" spans="9:30">
      <c r="I13" s="15" t="s">
        <v>51</v>
      </c>
      <c r="J13" s="20">
        <f>SUM(J5:J11)</f>
        <v>30.2595505</v>
      </c>
      <c r="K13" s="15" t="s">
        <v>51</v>
      </c>
      <c r="L13" s="20">
        <f>SUM(L5:L12)</f>
        <v>62.899943</v>
      </c>
      <c r="O13" s="10" t="s">
        <v>52</v>
      </c>
      <c r="P13" s="15">
        <v>22.1</v>
      </c>
      <c r="Q13" s="17" t="s">
        <v>53</v>
      </c>
      <c r="S13" s="26" t="s">
        <v>54</v>
      </c>
      <c r="T13" s="29">
        <v>0.05</v>
      </c>
      <c r="U13" s="30">
        <v>0.05</v>
      </c>
      <c r="W13" s="10">
        <v>3</v>
      </c>
      <c r="X13" s="21">
        <f>$T$12-$T$11</f>
        <v>6166507.0489600003</v>
      </c>
      <c r="Y13" s="23">
        <f>X13*$T$14^W13</f>
        <v>5326860.6405010261</v>
      </c>
      <c r="Z13" s="23">
        <f t="shared" si="0"/>
        <v>-13466622.330820516</v>
      </c>
      <c r="AA13" s="10">
        <v>3</v>
      </c>
      <c r="AB13" s="21">
        <f>$U$12-$U$11</f>
        <v>-19843766.436034232</v>
      </c>
      <c r="AC13" s="23">
        <f>AB13*$T$14^AA13</f>
        <v>-17141791.543923318</v>
      </c>
      <c r="AD13" s="23">
        <f t="shared" si="1"/>
        <v>-82299048.342218265</v>
      </c>
    </row>
    <row r="14" spans="9:30">
      <c r="I14" s="1"/>
      <c r="J14" s="1"/>
      <c r="K14" s="1"/>
      <c r="L14" s="1"/>
      <c r="O14" s="10" t="s">
        <v>55</v>
      </c>
      <c r="P14" s="15">
        <v>20</v>
      </c>
      <c r="Q14" s="13" t="s">
        <v>56</v>
      </c>
      <c r="S14" s="26" t="s">
        <v>57</v>
      </c>
      <c r="T14" s="27">
        <f>1/(1+U13)</f>
        <v>0.95238095238095233</v>
      </c>
      <c r="U14" s="28">
        <f>1/(1+U13)</f>
        <v>0.95238095238095233</v>
      </c>
      <c r="W14" s="10">
        <v>4</v>
      </c>
      <c r="X14" s="21">
        <f>$T$12-$T$11</f>
        <v>6166507.0489600003</v>
      </c>
      <c r="Y14" s="23">
        <f>X14*$T$14^W14</f>
        <v>5073200.6100009764</v>
      </c>
      <c r="Z14" s="23">
        <f t="shared" si="0"/>
        <v>-8393421.7208195403</v>
      </c>
      <c r="AA14" s="10">
        <v>4</v>
      </c>
      <c r="AB14" s="21">
        <f>$U$12-$U$11</f>
        <v>-19843766.436034232</v>
      </c>
      <c r="AC14" s="23">
        <f>AB14*$T$14^AA14</f>
        <v>-16325515.756117444</v>
      </c>
      <c r="AD14" s="23">
        <f t="shared" si="1"/>
        <v>-98624564.098335713</v>
      </c>
    </row>
    <row r="15" spans="9:30">
      <c r="I15" s="1"/>
      <c r="J15" s="1"/>
      <c r="K15" s="1"/>
      <c r="L15" s="1"/>
      <c r="O15" s="10" t="s">
        <v>58</v>
      </c>
      <c r="P15" s="15">
        <f>P13 * ((100+P14)/100)</f>
        <v>26.52</v>
      </c>
      <c r="Q15" s="13" t="s">
        <v>59</v>
      </c>
      <c r="S15" s="26" t="s">
        <v>35</v>
      </c>
      <c r="T15" s="27">
        <f>T12-T11</f>
        <v>6166507.0489600003</v>
      </c>
      <c r="U15" s="28">
        <f>U12-U11</f>
        <v>-19843766.436034232</v>
      </c>
      <c r="W15" s="10">
        <v>5</v>
      </c>
      <c r="X15" s="21">
        <f>$T$12-$T$11</f>
        <v>6166507.0489600003</v>
      </c>
      <c r="Y15" s="23">
        <f>X15*$T$14^W15</f>
        <v>4831619.6285723578</v>
      </c>
      <c r="Z15" s="23">
        <f t="shared" si="0"/>
        <v>-3561802.0922471825</v>
      </c>
      <c r="AA15" s="10">
        <v>5</v>
      </c>
      <c r="AB15" s="21">
        <f>$U$12-$U$11</f>
        <v>-19843766.436034232</v>
      </c>
      <c r="AC15" s="23">
        <f>AB15*$T$14^AA15</f>
        <v>-15548110.243921375</v>
      </c>
      <c r="AD15" s="23">
        <f t="shared" si="1"/>
        <v>-114172674.34225708</v>
      </c>
    </row>
    <row r="16" spans="9:30">
      <c r="I16" s="1"/>
      <c r="J16" s="1"/>
      <c r="K16" s="1"/>
      <c r="L16" s="1"/>
      <c r="O16" s="10" t="s">
        <v>60</v>
      </c>
      <c r="P16" s="15">
        <v>19</v>
      </c>
      <c r="Q16" s="13" t="s">
        <v>61</v>
      </c>
      <c r="S16" s="26" t="s">
        <v>62</v>
      </c>
      <c r="T16" s="27">
        <f>SUM(X10:X20)</f>
        <v>31405519.989600003</v>
      </c>
      <c r="U16" s="28">
        <f>SUM(AB10:AB20)</f>
        <v>-226697214.86034232</v>
      </c>
      <c r="W16" s="10">
        <v>6</v>
      </c>
      <c r="X16" s="21">
        <f>$T$12-$T$11</f>
        <v>6166507.0489600003</v>
      </c>
      <c r="Y16" s="23">
        <f>X16*$T$14^W16</f>
        <v>4601542.5034022462</v>
      </c>
      <c r="Z16" s="23">
        <f t="shared" si="0"/>
        <v>1039740.4111550637</v>
      </c>
      <c r="AA16" s="10">
        <v>6</v>
      </c>
      <c r="AB16" s="21">
        <f>$U$12-$U$11</f>
        <v>-19843766.436034232</v>
      </c>
      <c r="AC16" s="23">
        <f>AB16*$T$14^AA16</f>
        <v>-14807724.04182988</v>
      </c>
      <c r="AD16" s="23">
        <f t="shared" si="1"/>
        <v>-128980398.38408697</v>
      </c>
    </row>
    <row r="17" spans="6:30">
      <c r="F17" s="2"/>
      <c r="G17" s="2"/>
      <c r="O17" s="10" t="s">
        <v>55</v>
      </c>
      <c r="P17" s="15">
        <v>20</v>
      </c>
      <c r="Q17" s="13" t="s">
        <v>56</v>
      </c>
      <c r="S17" s="26" t="s">
        <v>63</v>
      </c>
      <c r="T17" s="27">
        <f>T10/T16</f>
        <v>0.96351057107223526</v>
      </c>
      <c r="U17" s="28">
        <f>U10/U16</f>
        <v>-0.12465768720365357</v>
      </c>
      <c r="W17" s="10">
        <v>7</v>
      </c>
      <c r="X17" s="21">
        <f>$T$12-$T$11</f>
        <v>6166507.0489600003</v>
      </c>
      <c r="Y17" s="23">
        <f>X17*$T$14^W17</f>
        <v>4382421.4318116624</v>
      </c>
      <c r="Z17" s="23">
        <f t="shared" si="0"/>
        <v>5422161.842966726</v>
      </c>
      <c r="AA17" s="10">
        <v>7</v>
      </c>
      <c r="AB17" s="21">
        <f>$U$12-$U$11</f>
        <v>-19843766.436034232</v>
      </c>
      <c r="AC17" s="23">
        <f>AB17*$T$14^AA17</f>
        <v>-14102594.325552266</v>
      </c>
      <c r="AD17" s="23">
        <f t="shared" si="1"/>
        <v>-143082992.70963922</v>
      </c>
    </row>
    <row r="18" spans="6:30">
      <c r="F18" s="2"/>
      <c r="G18" s="2"/>
      <c r="O18" s="10" t="s">
        <v>64</v>
      </c>
      <c r="P18" s="15">
        <f>P16 * ((100+P17)/100)</f>
        <v>22.8</v>
      </c>
      <c r="Q18" s="13" t="s">
        <v>59</v>
      </c>
      <c r="S18" s="26" t="s">
        <v>65</v>
      </c>
      <c r="T18" s="29">
        <f>T16/T10</f>
        <v>1.0378713322129489</v>
      </c>
      <c r="U18" s="30">
        <v>-0.54</v>
      </c>
      <c r="W18" s="10">
        <v>8</v>
      </c>
      <c r="X18" s="21">
        <f>$T$12-$T$11</f>
        <v>6166507.0489600003</v>
      </c>
      <c r="Y18" s="23">
        <f>X18*$T$14^W18</f>
        <v>4173734.6969634881</v>
      </c>
      <c r="Z18" s="23">
        <f t="shared" si="0"/>
        <v>9595896.5399302132</v>
      </c>
      <c r="AA18" s="10">
        <v>8</v>
      </c>
      <c r="AB18" s="21">
        <f>$U$12-$U$11</f>
        <v>-19843766.436034232</v>
      </c>
      <c r="AC18" s="23">
        <f>AB18*$T$14^AA18</f>
        <v>-13431042.214811681</v>
      </c>
      <c r="AD18" s="23">
        <f t="shared" si="1"/>
        <v>-156514034.9244509</v>
      </c>
    </row>
    <row r="19" spans="6:30">
      <c r="O19" s="10" t="s">
        <v>66</v>
      </c>
      <c r="P19" s="15">
        <v>0.5</v>
      </c>
      <c r="Q19" s="13" t="s">
        <v>67</v>
      </c>
      <c r="S19" s="26" t="s">
        <v>68</v>
      </c>
      <c r="T19" s="31">
        <f>SUM(Y10:Y20)</f>
        <v>17356582.371018786</v>
      </c>
      <c r="U19" s="32">
        <f>SUM(AC10:AC20)</f>
        <v>-181487854.91571075</v>
      </c>
      <c r="W19" s="10">
        <v>9</v>
      </c>
      <c r="X19" s="21">
        <f>$T$12-$T$11</f>
        <v>6166507.0489600003</v>
      </c>
      <c r="Y19" s="23">
        <f>X19*$T$14^W19</f>
        <v>3974985.4256795123</v>
      </c>
      <c r="Z19" s="23">
        <f t="shared" si="0"/>
        <v>13570881.965609726</v>
      </c>
      <c r="AA19" s="10">
        <v>9</v>
      </c>
      <c r="AB19" s="21">
        <f>$U$12-$U$11</f>
        <v>-19843766.436034232</v>
      </c>
      <c r="AC19" s="23">
        <f>AB19*$T$14^AA19</f>
        <v>-12791468.776011126</v>
      </c>
      <c r="AD19" s="23">
        <f t="shared" si="1"/>
        <v>-169305503.70046204</v>
      </c>
    </row>
    <row r="20" spans="6:30">
      <c r="O20" s="10" t="s">
        <v>69</v>
      </c>
      <c r="P20" s="16">
        <f xml:space="preserve"> 21000 * 0.05</f>
        <v>1050</v>
      </c>
      <c r="Q20" s="13" t="s">
        <v>9</v>
      </c>
      <c r="W20" s="10">
        <v>10</v>
      </c>
      <c r="X20" s="21">
        <f>$T$12-$T$11</f>
        <v>6166507.0489600003</v>
      </c>
      <c r="Y20" s="23">
        <f>X20*$T$14^W20</f>
        <v>3785700.405409059</v>
      </c>
      <c r="Z20" s="23">
        <f t="shared" si="0"/>
        <v>17356582.371018786</v>
      </c>
      <c r="AA20" s="10">
        <v>10</v>
      </c>
      <c r="AB20" s="21">
        <f>$U$12-$U$11</f>
        <v>-19843766.436034232</v>
      </c>
      <c r="AC20" s="23">
        <f>AB20*$T$14^AA20</f>
        <v>-12182351.215248689</v>
      </c>
      <c r="AD20" s="23">
        <f t="shared" si="1"/>
        <v>-181487854.91571075</v>
      </c>
    </row>
    <row r="21" spans="6:30">
      <c r="O21" s="10" t="s">
        <v>70</v>
      </c>
      <c r="P21" s="15">
        <v>3494.81</v>
      </c>
      <c r="Q21" s="13" t="s">
        <v>71</v>
      </c>
    </row>
    <row r="23" spans="6:30">
      <c r="O23">
        <v>2000000</v>
      </c>
    </row>
    <row r="27" spans="6:30">
      <c r="I27" s="34" t="s">
        <v>72</v>
      </c>
      <c r="J27" s="35"/>
      <c r="K27" s="35"/>
      <c r="L27" s="36"/>
    </row>
    <row r="28" spans="6:30">
      <c r="I28" s="37" t="s">
        <v>1</v>
      </c>
      <c r="J28" s="38"/>
      <c r="K28" s="39" t="s">
        <v>2</v>
      </c>
      <c r="L28" s="40"/>
    </row>
    <row r="29" spans="6:30">
      <c r="I29" s="5" t="s">
        <v>5</v>
      </c>
      <c r="J29" s="5" t="s">
        <v>6</v>
      </c>
      <c r="K29" s="6" t="s">
        <v>5</v>
      </c>
      <c r="L29" s="5" t="s">
        <v>7</v>
      </c>
      <c r="O29" s="3"/>
      <c r="P29" s="8"/>
    </row>
    <row r="30" spans="6:30">
      <c r="I30" s="18" t="s">
        <v>10</v>
      </c>
      <c r="J30" s="19">
        <f>(P20 * P21)/1000000</f>
        <v>3.6695505000000002</v>
      </c>
      <c r="K30" s="15" t="s">
        <v>11</v>
      </c>
      <c r="L30" s="20">
        <f>P5 * P4</f>
        <v>6.4140000000000006</v>
      </c>
    </row>
    <row r="31" spans="6:30">
      <c r="I31" s="18" t="s">
        <v>14</v>
      </c>
      <c r="J31" s="19">
        <v>9</v>
      </c>
      <c r="K31" s="15" t="s">
        <v>15</v>
      </c>
      <c r="L31" s="20">
        <f>(P16 * P12)/1000000 + 1.56547453523423</f>
        <v>3.6737300312342303</v>
      </c>
    </row>
    <row r="32" spans="6:30">
      <c r="I32" s="18" t="s">
        <v>18</v>
      </c>
      <c r="J32" s="19">
        <v>10</v>
      </c>
      <c r="K32" s="15" t="s">
        <v>19</v>
      </c>
      <c r="L32" s="20">
        <f xml:space="preserve"> (P6 * P7)</f>
        <v>5.8859430000000001</v>
      </c>
      <c r="O32" s="9"/>
      <c r="P32" s="8"/>
    </row>
    <row r="33" spans="9:16">
      <c r="I33" s="18" t="s">
        <v>22</v>
      </c>
      <c r="J33" s="19">
        <v>5</v>
      </c>
      <c r="K33" s="15" t="s">
        <v>23</v>
      </c>
      <c r="L33" s="20">
        <v>1</v>
      </c>
      <c r="O33" s="9"/>
      <c r="P33" s="8"/>
    </row>
    <row r="34" spans="9:16">
      <c r="I34" s="18" t="s">
        <v>28</v>
      </c>
      <c r="J34" s="19">
        <v>0.5</v>
      </c>
      <c r="K34" s="15" t="s">
        <v>29</v>
      </c>
      <c r="L34" s="20">
        <v>2</v>
      </c>
      <c r="O34" s="3"/>
      <c r="P34" s="8"/>
    </row>
    <row r="35" spans="9:16">
      <c r="I35" s="18" t="s">
        <v>38</v>
      </c>
      <c r="J35" s="19">
        <v>0.09</v>
      </c>
      <c r="K35" s="15" t="s">
        <v>39</v>
      </c>
      <c r="L35" s="20">
        <v>1</v>
      </c>
    </row>
    <row r="36" spans="9:16">
      <c r="I36" s="18"/>
      <c r="J36" s="19"/>
      <c r="K36" s="15" t="s">
        <v>43</v>
      </c>
      <c r="L36" s="20">
        <v>2</v>
      </c>
    </row>
    <row r="37" spans="9:16">
      <c r="I37" s="18"/>
      <c r="J37" s="19"/>
      <c r="K37" s="15" t="s">
        <v>47</v>
      </c>
      <c r="L37" s="20">
        <v>0.4</v>
      </c>
    </row>
    <row r="38" spans="9:16">
      <c r="I38" s="15" t="s">
        <v>51</v>
      </c>
      <c r="J38" s="20">
        <f>SUM(J30:J36)</f>
        <v>28.2595505</v>
      </c>
      <c r="K38" s="15" t="s">
        <v>51</v>
      </c>
      <c r="L38" s="20">
        <f>SUM(L30:L37)</f>
        <v>22.37367303123423</v>
      </c>
    </row>
  </sheetData>
  <mergeCells count="8">
    <mergeCell ref="W8:Y8"/>
    <mergeCell ref="AA8:AC8"/>
    <mergeCell ref="I27:L27"/>
    <mergeCell ref="I28:J28"/>
    <mergeCell ref="K28:L28"/>
    <mergeCell ref="I2:L2"/>
    <mergeCell ref="I3:J3"/>
    <mergeCell ref="K3:L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DA75D69F7824BB5A5C22C1F1FBD2D" ma:contentTypeVersion="18" ma:contentTypeDescription="Create a new document." ma:contentTypeScope="" ma:versionID="b2c0fe397d8b9a5a4737b0fb14390c9e">
  <xsd:schema xmlns:xsd="http://www.w3.org/2001/XMLSchema" xmlns:xs="http://www.w3.org/2001/XMLSchema" xmlns:p="http://schemas.microsoft.com/office/2006/metadata/properties" xmlns:ns3="b003bb8c-3a60-49e4-8eab-ab71c62c6e91" xmlns:ns4="2ed9e9f7-3515-4de0-a5e4-755596a47cd6" targetNamespace="http://schemas.microsoft.com/office/2006/metadata/properties" ma:root="true" ma:fieldsID="9eddfc585757c6c33ad4798499e95eec" ns3:_="" ns4:_="">
    <xsd:import namespace="b003bb8c-3a60-49e4-8eab-ab71c62c6e91"/>
    <xsd:import namespace="2ed9e9f7-3515-4de0-a5e4-755596a47c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3bb8c-3a60-49e4-8eab-ab71c62c6e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9e9f7-3515-4de0-a5e4-755596a47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03bb8c-3a60-49e4-8eab-ab71c62c6e91" xsi:nil="true"/>
  </documentManagement>
</p:properties>
</file>

<file path=customXml/itemProps1.xml><?xml version="1.0" encoding="utf-8"?>
<ds:datastoreItem xmlns:ds="http://schemas.openxmlformats.org/officeDocument/2006/customXml" ds:itemID="{41159D16-65DE-4369-93B0-BD63532D8E0C}"/>
</file>

<file path=customXml/itemProps2.xml><?xml version="1.0" encoding="utf-8"?>
<ds:datastoreItem xmlns:ds="http://schemas.openxmlformats.org/officeDocument/2006/customXml" ds:itemID="{812DB4CD-A339-48E1-A641-BDA937A1638E}"/>
</file>

<file path=customXml/itemProps3.xml><?xml version="1.0" encoding="utf-8"?>
<ds:datastoreItem xmlns:ds="http://schemas.openxmlformats.org/officeDocument/2006/customXml" ds:itemID="{86674FB8-2C27-4093-A6ED-76507EE1E3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Awais Amjad</dc:creator>
  <cp:keywords/>
  <dc:description/>
  <cp:lastModifiedBy>Awais Amjad</cp:lastModifiedBy>
  <cp:revision/>
  <dcterms:created xsi:type="dcterms:W3CDTF">2024-05-15T22:43:30Z</dcterms:created>
  <dcterms:modified xsi:type="dcterms:W3CDTF">2024-05-21T21:00:47Z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0x010100653DA75D69F7824BB5A5C22C1F1FBD2D</vt:lpwstr>
  </property>
</Properties>
</file>