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Thesis\Code\thesis_jpoland\Jelles_deformation_model\Final_11_03\"/>
    </mc:Choice>
  </mc:AlternateContent>
  <xr:revisionPtr revIDLastSave="0" documentId="13_ncr:1_{19C8E60F-E136-429D-82CB-EED10029A302}" xr6:coauthVersionLast="47" xr6:coauthVersionMax="47" xr10:uidLastSave="{00000000-0000-0000-0000-000000000000}"/>
  <bookViews>
    <workbookView xWindow="11550" yWindow="2640" windowWidth="12900" windowHeight="16200" activeTab="1" xr2:uid="{2CE95732-8204-4714-B3F7-41FDB2EF82E6}"/>
  </bookViews>
  <sheets>
    <sheet name="kcu_pow" sheetId="5" r:id="rId1"/>
    <sheet name="kcu_dep" sheetId="4" r:id="rId2"/>
    <sheet name="launch_pow" sheetId="7" r:id="rId3"/>
    <sheet name="launch_dep" sheetId="6" r:id="rId4"/>
    <sheet name="new" sheetId="3" r:id="rId5"/>
    <sheet name="Blad1" sheetId="1" r:id="rId6"/>
    <sheet name="copy_if_things_go_wrong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4" l="1"/>
  <c r="S34" i="4"/>
  <c r="B51" i="4"/>
  <c r="W40" i="4"/>
  <c r="V40" i="4"/>
  <c r="S40" i="4"/>
  <c r="R40" i="4"/>
  <c r="B41" i="4"/>
  <c r="C39" i="4"/>
  <c r="D39" i="4"/>
  <c r="E39" i="4"/>
  <c r="F39" i="4"/>
  <c r="G39" i="4"/>
  <c r="H39" i="4"/>
  <c r="I39" i="4"/>
  <c r="B39" i="4"/>
  <c r="W34" i="6"/>
  <c r="S34" i="6"/>
  <c r="R34" i="6"/>
  <c r="U30" i="6"/>
  <c r="S30" i="6"/>
  <c r="V34" i="6" s="1"/>
  <c r="Q30" i="6"/>
  <c r="O30" i="6"/>
  <c r="C27" i="6"/>
  <c r="C32" i="6" s="1"/>
  <c r="E17" i="6"/>
  <c r="N14" i="6"/>
  <c r="M14" i="6"/>
  <c r="G17" i="6" s="1"/>
  <c r="L14" i="6"/>
  <c r="G27" i="6" s="1"/>
  <c r="K14" i="6"/>
  <c r="C17" i="6" s="1"/>
  <c r="J14" i="6"/>
  <c r="H14" i="6"/>
  <c r="F14" i="6"/>
  <c r="D14" i="6"/>
  <c r="Q4" i="4"/>
  <c r="Q3" i="4"/>
  <c r="G8" i="5"/>
  <c r="G11" i="4" s="1"/>
  <c r="B8" i="4"/>
  <c r="B11" i="4"/>
  <c r="V11" i="4"/>
  <c r="U11" i="4"/>
  <c r="T11" i="4"/>
  <c r="S11" i="4"/>
  <c r="W34" i="4" s="1"/>
  <c r="R11" i="4"/>
  <c r="Q11" i="4"/>
  <c r="P11" i="4"/>
  <c r="O11" i="4"/>
  <c r="N11" i="4"/>
  <c r="M11" i="4"/>
  <c r="L11" i="4"/>
  <c r="L14" i="4" s="1"/>
  <c r="G17" i="4" s="1"/>
  <c r="K11" i="4"/>
  <c r="J11" i="4"/>
  <c r="I11" i="4"/>
  <c r="H11" i="4"/>
  <c r="F11" i="4"/>
  <c r="E11" i="4"/>
  <c r="D11" i="4"/>
  <c r="C11" i="4"/>
  <c r="V8" i="4"/>
  <c r="U8" i="4"/>
  <c r="U30" i="4" s="1"/>
  <c r="T8" i="4"/>
  <c r="S8" i="4"/>
  <c r="S30" i="4" s="1"/>
  <c r="R8" i="4"/>
  <c r="P8" i="4"/>
  <c r="O8" i="4"/>
  <c r="N8" i="4"/>
  <c r="M8" i="4"/>
  <c r="M14" i="4" s="1"/>
  <c r="L8" i="4"/>
  <c r="K8" i="4"/>
  <c r="J8" i="4"/>
  <c r="I8" i="4"/>
  <c r="H8" i="4"/>
  <c r="G8" i="4"/>
  <c r="F8" i="4"/>
  <c r="F14" i="4" s="1"/>
  <c r="E8" i="4"/>
  <c r="D8" i="4"/>
  <c r="D14" i="4" s="1"/>
  <c r="C8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D49" i="1"/>
  <c r="D49" i="3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F8" i="5"/>
  <c r="E8" i="5"/>
  <c r="D8" i="5"/>
  <c r="C8" i="5"/>
  <c r="B8" i="5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8" i="6"/>
  <c r="G50" i="3"/>
  <c r="H49" i="3"/>
  <c r="G46" i="3"/>
  <c r="F46" i="3"/>
  <c r="F50" i="3" s="1"/>
  <c r="E46" i="3"/>
  <c r="E50" i="3" s="1"/>
  <c r="D46" i="3"/>
  <c r="D50" i="3" s="1"/>
  <c r="H45" i="3"/>
  <c r="G45" i="3"/>
  <c r="G49" i="3" s="1"/>
  <c r="G55" i="3" s="1"/>
  <c r="G56" i="3" s="1"/>
  <c r="F45" i="3"/>
  <c r="F49" i="3" s="1"/>
  <c r="F55" i="3" s="1"/>
  <c r="F56" i="3" s="1"/>
  <c r="E45" i="3"/>
  <c r="E49" i="3" s="1"/>
  <c r="E55" i="3" s="1"/>
  <c r="D45" i="3"/>
  <c r="I43" i="3"/>
  <c r="H41" i="3"/>
  <c r="H46" i="3" s="1"/>
  <c r="H50" i="3" s="1"/>
  <c r="H52" i="3" s="1"/>
  <c r="H53" i="3" s="1"/>
  <c r="Q64" i="1"/>
  <c r="R64" i="1"/>
  <c r="S64" i="1"/>
  <c r="I43" i="1"/>
  <c r="AC27" i="1"/>
  <c r="Z30" i="1"/>
  <c r="Z22" i="1"/>
  <c r="R18" i="2"/>
  <c r="R13" i="2"/>
  <c r="R8" i="2"/>
  <c r="Q54" i="1"/>
  <c r="AN47" i="1"/>
  <c r="AM47" i="1"/>
  <c r="AL47" i="1"/>
  <c r="AK47" i="1"/>
  <c r="AN43" i="1"/>
  <c r="AM43" i="1"/>
  <c r="AL43" i="1"/>
  <c r="AK43" i="1"/>
  <c r="AA40" i="1"/>
  <c r="AG40" i="1"/>
  <c r="AF40" i="1"/>
  <c r="AE40" i="1"/>
  <c r="AD40" i="1"/>
  <c r="AC40" i="1"/>
  <c r="AB40" i="1"/>
  <c r="R53" i="1"/>
  <c r="L50" i="2"/>
  <c r="K50" i="2"/>
  <c r="J50" i="2"/>
  <c r="D55" i="2"/>
  <c r="R57" i="1"/>
  <c r="P42" i="1"/>
  <c r="E45" i="1"/>
  <c r="D45" i="1"/>
  <c r="D46" i="1"/>
  <c r="D50" i="1" s="1"/>
  <c r="Y96" i="2"/>
  <c r="X96" i="2"/>
  <c r="V96" i="2"/>
  <c r="U96" i="2"/>
  <c r="T96" i="2"/>
  <c r="Z96" i="2" s="1"/>
  <c r="S95" i="2"/>
  <c r="W92" i="2"/>
  <c r="R95" i="2" s="1"/>
  <c r="R96" i="2" s="1"/>
  <c r="V92" i="2"/>
  <c r="U92" i="2"/>
  <c r="T92" i="2"/>
  <c r="Z91" i="2"/>
  <c r="Y91" i="2"/>
  <c r="S90" i="2"/>
  <c r="V87" i="2"/>
  <c r="U87" i="2"/>
  <c r="T87" i="2"/>
  <c r="W87" i="2" s="1"/>
  <c r="R90" i="2" s="1"/>
  <c r="Z86" i="2"/>
  <c r="Y86" i="2"/>
  <c r="X86" i="2"/>
  <c r="X91" i="2" s="1"/>
  <c r="Z83" i="2"/>
  <c r="V83" i="2"/>
  <c r="X83" i="2" s="1"/>
  <c r="U83" i="2"/>
  <c r="Y83" i="2" s="1"/>
  <c r="T83" i="2"/>
  <c r="S82" i="2"/>
  <c r="R83" i="2" s="1"/>
  <c r="V79" i="2"/>
  <c r="U79" i="2"/>
  <c r="T79" i="2"/>
  <c r="W79" i="2" s="1"/>
  <c r="R82" i="2" s="1"/>
  <c r="Z78" i="2"/>
  <c r="X78" i="2"/>
  <c r="V78" i="2"/>
  <c r="U78" i="2"/>
  <c r="Y78" i="2" s="1"/>
  <c r="T78" i="2"/>
  <c r="S77" i="2"/>
  <c r="V74" i="2"/>
  <c r="U74" i="2"/>
  <c r="T74" i="2"/>
  <c r="W74" i="2" s="1"/>
  <c r="R77" i="2" s="1"/>
  <c r="R78" i="2" s="1"/>
  <c r="Y73" i="2"/>
  <c r="X73" i="2"/>
  <c r="V73" i="2"/>
  <c r="U73" i="2"/>
  <c r="T73" i="2"/>
  <c r="Z73" i="2" s="1"/>
  <c r="S72" i="2"/>
  <c r="W69" i="2"/>
  <c r="R72" i="2" s="1"/>
  <c r="R73" i="2" s="1"/>
  <c r="V69" i="2"/>
  <c r="U69" i="2"/>
  <c r="T69" i="2"/>
  <c r="Z68" i="2"/>
  <c r="Z98" i="2" s="1"/>
  <c r="Y68" i="2"/>
  <c r="Y98" i="2" s="1"/>
  <c r="S67" i="2"/>
  <c r="V64" i="2"/>
  <c r="U64" i="2"/>
  <c r="T64" i="2"/>
  <c r="W64" i="2" s="1"/>
  <c r="R67" i="2" s="1"/>
  <c r="Z63" i="2"/>
  <c r="Y63" i="2"/>
  <c r="X63" i="2"/>
  <c r="X68" i="2" s="1"/>
  <c r="X98" i="2" s="1"/>
  <c r="W57" i="2"/>
  <c r="V57" i="2"/>
  <c r="G56" i="2"/>
  <c r="F56" i="2"/>
  <c r="E56" i="2"/>
  <c r="D56" i="2"/>
  <c r="V54" i="2"/>
  <c r="U57" i="2" s="1"/>
  <c r="U58" i="2" s="1"/>
  <c r="U54" i="2"/>
  <c r="T54" i="2"/>
  <c r="G47" i="2"/>
  <c r="F47" i="2"/>
  <c r="E47" i="2"/>
  <c r="D47" i="2"/>
  <c r="G46" i="2"/>
  <c r="F46" i="2"/>
  <c r="E46" i="2"/>
  <c r="D46" i="2"/>
  <c r="V45" i="2"/>
  <c r="L44" i="2"/>
  <c r="L45" i="2" s="1"/>
  <c r="K44" i="2"/>
  <c r="K45" i="2" s="1"/>
  <c r="J44" i="2"/>
  <c r="J45" i="2" s="1"/>
  <c r="I44" i="2"/>
  <c r="L43" i="2"/>
  <c r="K43" i="2"/>
  <c r="J43" i="2"/>
  <c r="H40" i="2"/>
  <c r="H47" i="2" s="1"/>
  <c r="V38" i="2"/>
  <c r="U45" i="2" s="1"/>
  <c r="U38" i="2"/>
  <c r="T38" i="2"/>
  <c r="W45" i="2" s="1"/>
  <c r="I37" i="2"/>
  <c r="I43" i="2" s="1"/>
  <c r="H36" i="2"/>
  <c r="H46" i="2" s="1"/>
  <c r="S35" i="2"/>
  <c r="W32" i="2"/>
  <c r="R35" i="2" s="1"/>
  <c r="R36" i="2" s="1"/>
  <c r="V32" i="2"/>
  <c r="V36" i="2" s="1"/>
  <c r="X36" i="2" s="1"/>
  <c r="U32" i="2"/>
  <c r="U36" i="2" s="1"/>
  <c r="Y36" i="2" s="1"/>
  <c r="T32" i="2"/>
  <c r="T36" i="2" s="1"/>
  <c r="Z36" i="2" s="1"/>
  <c r="U31" i="2"/>
  <c r="Y31" i="2" s="1"/>
  <c r="S30" i="2"/>
  <c r="AF27" i="2"/>
  <c r="V27" i="2"/>
  <c r="V31" i="2" s="1"/>
  <c r="X31" i="2" s="1"/>
  <c r="U27" i="2"/>
  <c r="T27" i="2"/>
  <c r="T31" i="2" s="1"/>
  <c r="Z31" i="2" s="1"/>
  <c r="Y26" i="2"/>
  <c r="X26" i="2"/>
  <c r="AF25" i="2"/>
  <c r="AE25" i="2"/>
  <c r="AD25" i="2"/>
  <c r="AC25" i="2"/>
  <c r="K25" i="2"/>
  <c r="K27" i="2" s="1"/>
  <c r="L27" i="2" s="1"/>
  <c r="L28" i="2" s="1"/>
  <c r="T23" i="2"/>
  <c r="Z23" i="2" s="1"/>
  <c r="S22" i="2"/>
  <c r="AF19" i="2"/>
  <c r="AE19" i="2"/>
  <c r="AE21" i="2" s="1"/>
  <c r="AD19" i="2"/>
  <c r="AC19" i="2"/>
  <c r="V19" i="2"/>
  <c r="V23" i="2" s="1"/>
  <c r="X23" i="2" s="1"/>
  <c r="U19" i="2"/>
  <c r="U23" i="2" s="1"/>
  <c r="Y23" i="2" s="1"/>
  <c r="T19" i="2"/>
  <c r="Y18" i="2"/>
  <c r="U18" i="2"/>
  <c r="T18" i="2"/>
  <c r="Z18" i="2" s="1"/>
  <c r="AF17" i="2"/>
  <c r="AF21" i="2" s="1"/>
  <c r="AE17" i="2"/>
  <c r="AE27" i="2" s="1"/>
  <c r="AD17" i="2"/>
  <c r="AD21" i="2" s="1"/>
  <c r="S17" i="2"/>
  <c r="W14" i="2"/>
  <c r="R17" i="2" s="1"/>
  <c r="V14" i="2"/>
  <c r="V18" i="2" s="1"/>
  <c r="X18" i="2" s="1"/>
  <c r="U14" i="2"/>
  <c r="T14" i="2"/>
  <c r="S12" i="2"/>
  <c r="AC10" i="2"/>
  <c r="AC17" i="2" s="1"/>
  <c r="V9" i="2"/>
  <c r="V13" i="2" s="1"/>
  <c r="X13" i="2" s="1"/>
  <c r="U9" i="2"/>
  <c r="U13" i="2" s="1"/>
  <c r="Y13" i="2" s="1"/>
  <c r="T9" i="2"/>
  <c r="T13" i="2" s="1"/>
  <c r="T8" i="2"/>
  <c r="Z8" i="2" s="1"/>
  <c r="S7" i="2"/>
  <c r="V4" i="2"/>
  <c r="V8" i="2" s="1"/>
  <c r="U4" i="2"/>
  <c r="U8" i="2" s="1"/>
  <c r="T4" i="2"/>
  <c r="Z3" i="2"/>
  <c r="X3" i="2"/>
  <c r="G46" i="1"/>
  <c r="G50" i="1" s="1"/>
  <c r="AF45" i="1" s="1"/>
  <c r="AB45" i="1" s="1"/>
  <c r="AL41" i="1"/>
  <c r="AL44" i="1" s="1"/>
  <c r="AB43" i="1" s="1"/>
  <c r="AM41" i="1"/>
  <c r="AN41" i="1"/>
  <c r="AK34" i="1"/>
  <c r="AK41" i="1" s="1"/>
  <c r="AK44" i="1" s="1"/>
  <c r="Z35" i="1"/>
  <c r="AC32" i="1"/>
  <c r="AC36" i="1" s="1"/>
  <c r="AE36" i="1" s="1"/>
  <c r="AB32" i="1"/>
  <c r="AB36" i="1" s="1"/>
  <c r="AF36" i="1" s="1"/>
  <c r="AA32" i="1"/>
  <c r="AA36" i="1" s="1"/>
  <c r="AC31" i="1"/>
  <c r="AE31" i="1" s="1"/>
  <c r="AB27" i="1"/>
  <c r="AB31" i="1" s="1"/>
  <c r="AF31" i="1" s="1"/>
  <c r="AA27" i="1"/>
  <c r="AD27" i="1" s="1"/>
  <c r="Y30" i="1" s="1"/>
  <c r="Z17" i="1"/>
  <c r="Z12" i="1"/>
  <c r="Z7" i="1"/>
  <c r="AC4" i="1"/>
  <c r="AE3" i="1" s="1"/>
  <c r="AC19" i="1"/>
  <c r="AC23" i="1" s="1"/>
  <c r="AE23" i="1" s="1"/>
  <c r="AB19" i="1"/>
  <c r="AB23" i="1" s="1"/>
  <c r="AF23" i="1" s="1"/>
  <c r="AA19" i="1"/>
  <c r="AC14" i="1"/>
  <c r="AC18" i="1" s="1"/>
  <c r="AE18" i="1" s="1"/>
  <c r="AB14" i="1"/>
  <c r="AB18" i="1" s="1"/>
  <c r="AF18" i="1" s="1"/>
  <c r="AA14" i="1"/>
  <c r="AA18" i="1" s="1"/>
  <c r="AG18" i="1" s="1"/>
  <c r="AC9" i="1"/>
  <c r="AC13" i="1" s="1"/>
  <c r="AE13" i="1" s="1"/>
  <c r="AB9" i="1"/>
  <c r="AB13" i="1" s="1"/>
  <c r="AF13" i="1" s="1"/>
  <c r="AA9" i="1"/>
  <c r="AA13" i="1" s="1"/>
  <c r="AG13" i="1" s="1"/>
  <c r="AA4" i="1"/>
  <c r="AA8" i="1" s="1"/>
  <c r="AB4" i="1"/>
  <c r="AB8" i="1" s="1"/>
  <c r="E46" i="1"/>
  <c r="E50" i="1" s="1"/>
  <c r="AD45" i="1" s="1"/>
  <c r="F46" i="1"/>
  <c r="F50" i="1" s="1"/>
  <c r="AE45" i="1" s="1"/>
  <c r="AC45" i="1" s="1"/>
  <c r="F45" i="1"/>
  <c r="G45" i="1"/>
  <c r="H41" i="1"/>
  <c r="H46" i="1" s="1"/>
  <c r="H50" i="1" s="1"/>
  <c r="AG45" i="1" s="1"/>
  <c r="AA45" i="1" s="1"/>
  <c r="H45" i="1"/>
  <c r="Q38" i="1"/>
  <c r="R38" i="1"/>
  <c r="S38" i="1"/>
  <c r="Q42" i="1"/>
  <c r="R42" i="1"/>
  <c r="S42" i="1"/>
  <c r="P37" i="1"/>
  <c r="P38" i="1" s="1"/>
  <c r="O25" i="1"/>
  <c r="O27" i="1" s="1"/>
  <c r="P27" i="1" s="1"/>
  <c r="P28" i="1" s="1"/>
  <c r="G32" i="6" l="1"/>
  <c r="G29" i="6"/>
  <c r="I27" i="6"/>
  <c r="B17" i="6"/>
  <c r="I17" i="6"/>
  <c r="E27" i="6"/>
  <c r="C29" i="6"/>
  <c r="B27" i="6"/>
  <c r="R47" i="4"/>
  <c r="G27" i="4"/>
  <c r="G32" i="4" s="1"/>
  <c r="Q8" i="4"/>
  <c r="Q30" i="4" s="1"/>
  <c r="H14" i="4"/>
  <c r="J14" i="4"/>
  <c r="N14" i="4"/>
  <c r="I27" i="4" s="1"/>
  <c r="O47" i="4"/>
  <c r="K14" i="4"/>
  <c r="O30" i="4"/>
  <c r="V34" i="4"/>
  <c r="R46" i="4" s="1"/>
  <c r="D52" i="3"/>
  <c r="D53" i="3" s="1"/>
  <c r="E56" i="3"/>
  <c r="D55" i="3"/>
  <c r="D56" i="3" s="1"/>
  <c r="E52" i="3"/>
  <c r="E53" i="3" s="1"/>
  <c r="H55" i="3"/>
  <c r="H56" i="3" s="1"/>
  <c r="F52" i="3"/>
  <c r="F53" i="3" s="1"/>
  <c r="G52" i="3"/>
  <c r="G53" i="3" s="1"/>
  <c r="AD4" i="1"/>
  <c r="Y7" i="1" s="1"/>
  <c r="AD19" i="1"/>
  <c r="Y22" i="1" s="1"/>
  <c r="X57" i="1"/>
  <c r="AM44" i="1"/>
  <c r="AC43" i="1" s="1"/>
  <c r="AC47" i="1"/>
  <c r="AC48" i="1" s="1"/>
  <c r="AB47" i="1"/>
  <c r="AB48" i="1" s="1"/>
  <c r="P25" i="1"/>
  <c r="P26" i="1" s="1"/>
  <c r="AA43" i="1"/>
  <c r="AA47" i="1" s="1"/>
  <c r="AA48" i="1" s="1"/>
  <c r="Y8" i="1"/>
  <c r="O31" i="1"/>
  <c r="P31" i="1" s="1"/>
  <c r="AN44" i="1"/>
  <c r="AF3" i="1"/>
  <c r="Y31" i="1"/>
  <c r="AL48" i="1"/>
  <c r="AF43" i="1" s="1"/>
  <c r="AF47" i="1" s="1"/>
  <c r="AF48" i="1" s="1"/>
  <c r="P44" i="1"/>
  <c r="P50" i="1" s="1"/>
  <c r="P60" i="1" s="1"/>
  <c r="S44" i="1"/>
  <c r="S50" i="1" s="1"/>
  <c r="S60" i="1" s="1"/>
  <c r="P63" i="1" s="1"/>
  <c r="P64" i="1" s="1"/>
  <c r="AM45" i="1"/>
  <c r="AF8" i="1"/>
  <c r="AG8" i="1"/>
  <c r="AD9" i="1"/>
  <c r="Y12" i="1" s="1"/>
  <c r="Y13" i="1" s="1"/>
  <c r="AA23" i="1"/>
  <c r="AG23" i="1" s="1"/>
  <c r="AG3" i="1"/>
  <c r="AA31" i="1"/>
  <c r="AG31" i="1" s="1"/>
  <c r="AM48" i="1"/>
  <c r="AE43" i="1" s="1"/>
  <c r="AE47" i="1" s="1"/>
  <c r="AE48" i="1" s="1"/>
  <c r="AK48" i="1"/>
  <c r="AG26" i="1"/>
  <c r="AD14" i="1"/>
  <c r="Y17" i="1" s="1"/>
  <c r="Y18" i="1" s="1"/>
  <c r="AC8" i="1"/>
  <c r="AE26" i="1"/>
  <c r="AN48" i="1"/>
  <c r="AD43" i="1" s="1"/>
  <c r="AD47" i="1" s="1"/>
  <c r="AD48" i="1" s="1"/>
  <c r="Y23" i="1"/>
  <c r="AG36" i="1"/>
  <c r="AF26" i="1"/>
  <c r="X8" i="2"/>
  <c r="X38" i="2" s="1"/>
  <c r="V39" i="2"/>
  <c r="U46" i="2" s="1"/>
  <c r="G55" i="2"/>
  <c r="H55" i="2"/>
  <c r="AC21" i="2"/>
  <c r="AD23" i="2" s="1"/>
  <c r="AC27" i="2"/>
  <c r="AD29" i="2" s="1"/>
  <c r="U48" i="2"/>
  <c r="V48" i="2" s="1"/>
  <c r="I50" i="2"/>
  <c r="E55" i="2" s="1"/>
  <c r="E61" i="2" s="1"/>
  <c r="E62" i="2" s="1"/>
  <c r="G61" i="2"/>
  <c r="G62" i="2" s="1"/>
  <c r="Y8" i="2"/>
  <c r="Y38" i="2" s="1"/>
  <c r="T39" i="2"/>
  <c r="W46" i="2" s="1"/>
  <c r="Z13" i="2"/>
  <c r="Z38" i="2" s="1"/>
  <c r="I45" i="2"/>
  <c r="R68" i="2"/>
  <c r="R91" i="2"/>
  <c r="K31" i="2"/>
  <c r="L31" i="2" s="1"/>
  <c r="W4" i="2"/>
  <c r="R7" i="2" s="1"/>
  <c r="R38" i="2" s="1"/>
  <c r="W19" i="2"/>
  <c r="R22" i="2" s="1"/>
  <c r="R23" i="2" s="1"/>
  <c r="L25" i="2"/>
  <c r="L26" i="2" s="1"/>
  <c r="Z26" i="2"/>
  <c r="AD27" i="2"/>
  <c r="H56" i="2"/>
  <c r="H61" i="2" s="1"/>
  <c r="H62" i="2" s="1"/>
  <c r="Y3" i="2"/>
  <c r="U39" i="2" s="1"/>
  <c r="V46" i="2" s="1"/>
  <c r="W9" i="2"/>
  <c r="R12" i="2" s="1"/>
  <c r="W27" i="2"/>
  <c r="R30" i="2" s="1"/>
  <c r="R31" i="2" s="1"/>
  <c r="AD32" i="1"/>
  <c r="R44" i="1"/>
  <c r="Q44" i="1"/>
  <c r="I29" i="6" l="1"/>
  <c r="I32" i="6"/>
  <c r="E29" i="6"/>
  <c r="E32" i="6"/>
  <c r="B34" i="6" s="1"/>
  <c r="B29" i="6"/>
  <c r="B32" i="6"/>
  <c r="B25" i="6"/>
  <c r="B21" i="6"/>
  <c r="B23" i="6"/>
  <c r="B24" i="6"/>
  <c r="B22" i="6"/>
  <c r="R48" i="4"/>
  <c r="O46" i="4"/>
  <c r="O48" i="4" s="1"/>
  <c r="B17" i="4"/>
  <c r="B27" i="4"/>
  <c r="B32" i="4" s="1"/>
  <c r="I29" i="4"/>
  <c r="I32" i="4"/>
  <c r="E17" i="4"/>
  <c r="C17" i="4"/>
  <c r="I17" i="4"/>
  <c r="C27" i="4"/>
  <c r="C32" i="4" s="1"/>
  <c r="E27" i="4"/>
  <c r="E29" i="4" s="1"/>
  <c r="G29" i="4"/>
  <c r="E59" i="3"/>
  <c r="E58" i="3"/>
  <c r="E49" i="1"/>
  <c r="E55" i="1" s="1"/>
  <c r="E56" i="1" s="1"/>
  <c r="AA51" i="1"/>
  <c r="AM49" i="1"/>
  <c r="AG43" i="1"/>
  <c r="AG47" i="1" s="1"/>
  <c r="AG48" i="1" s="1"/>
  <c r="AE51" i="1" s="1"/>
  <c r="Y35" i="1"/>
  <c r="Y36" i="1" s="1"/>
  <c r="Z54" i="1" s="1"/>
  <c r="Q50" i="1"/>
  <c r="Q60" i="1" s="1"/>
  <c r="R50" i="1"/>
  <c r="AE8" i="1"/>
  <c r="E52" i="1"/>
  <c r="E53" i="1" s="1"/>
  <c r="F55" i="2"/>
  <c r="F61" i="2" s="1"/>
  <c r="F62" i="2" s="1"/>
  <c r="D61" i="2"/>
  <c r="D62" i="2" s="1"/>
  <c r="B46" i="4" l="1"/>
  <c r="C46" i="4"/>
  <c r="B29" i="4"/>
  <c r="C29" i="4"/>
  <c r="E32" i="4"/>
  <c r="B34" i="4" s="1"/>
  <c r="I46" i="4"/>
  <c r="B22" i="4"/>
  <c r="B21" i="4"/>
  <c r="B23" i="4"/>
  <c r="B24" i="4"/>
  <c r="B25" i="4"/>
  <c r="S63" i="1"/>
  <c r="X58" i="1"/>
  <c r="R60" i="1"/>
  <c r="R63" i="1" s="1"/>
  <c r="G46" i="4" l="1"/>
  <c r="B47" i="4"/>
  <c r="E46" i="4"/>
  <c r="O67" i="1"/>
  <c r="O68" i="1" s="1"/>
  <c r="H49" i="1"/>
  <c r="Q63" i="1"/>
  <c r="F49" i="1" s="1"/>
  <c r="G49" i="1"/>
  <c r="D52" i="1" l="1"/>
  <c r="D53" i="1" s="1"/>
  <c r="D55" i="1"/>
  <c r="D56" i="1" s="1"/>
  <c r="G52" i="1"/>
  <c r="G53" i="1" s="1"/>
  <c r="G55" i="1"/>
  <c r="G56" i="1" s="1"/>
  <c r="F52" i="1"/>
  <c r="F53" i="1" s="1"/>
  <c r="F55" i="1"/>
  <c r="H52" i="1"/>
  <c r="H53" i="1" s="1"/>
  <c r="H55" i="1"/>
  <c r="H56" i="1" s="1"/>
  <c r="F56" i="1" l="1"/>
  <c r="E59" i="1" s="1"/>
  <c r="E58" i="1"/>
</calcChain>
</file>

<file path=xl/sharedStrings.xml><?xml version="1.0" encoding="utf-8"?>
<sst xmlns="http://schemas.openxmlformats.org/spreadsheetml/2006/main" count="830" uniqueCount="149">
  <si>
    <t>launch_kcu</t>
  </si>
  <si>
    <t>from_kcu</t>
  </si>
  <si>
    <t>depowered</t>
  </si>
  <si>
    <t>powered</t>
  </si>
  <si>
    <t>width_tt</t>
  </si>
  <si>
    <t>w_mp</t>
  </si>
  <si>
    <t>chord</t>
  </si>
  <si>
    <t>w_o1</t>
  </si>
  <si>
    <t>w_o2</t>
  </si>
  <si>
    <t>line-to-line</t>
  </si>
  <si>
    <t>average</t>
  </si>
  <si>
    <t>mid strut-to-mid strut</t>
  </si>
  <si>
    <t>to pow, launch</t>
  </si>
  <si>
    <t>feels to big</t>
  </si>
  <si>
    <t>out_chord</t>
  </si>
  <si>
    <t>Data</t>
  </si>
  <si>
    <t>strut_1</t>
  </si>
  <si>
    <t>strut_2</t>
  </si>
  <si>
    <t>strut_3</t>
  </si>
  <si>
    <t>strut_4</t>
  </si>
  <si>
    <t>w_o3</t>
  </si>
  <si>
    <t>Average the datasets</t>
  </si>
  <si>
    <t>depower</t>
  </si>
  <si>
    <t>power</t>
  </si>
  <si>
    <t>explain that the bending of the struts means assumption is flawed</t>
  </si>
  <si>
    <t>left</t>
  </si>
  <si>
    <t>right</t>
  </si>
  <si>
    <t>w_left</t>
  </si>
  <si>
    <t>w_right</t>
  </si>
  <si>
    <t>strut</t>
  </si>
  <si>
    <t>TE</t>
  </si>
  <si>
    <t>p1</t>
  </si>
  <si>
    <t>p2</t>
  </si>
  <si>
    <t>p3</t>
  </si>
  <si>
    <t>p4</t>
  </si>
  <si>
    <t>p5</t>
  </si>
  <si>
    <t>p6</t>
  </si>
  <si>
    <t>p7</t>
  </si>
  <si>
    <t>1_57</t>
  </si>
  <si>
    <t>p8</t>
  </si>
  <si>
    <t>2_17</t>
  </si>
  <si>
    <t>3_01</t>
  </si>
  <si>
    <t>3_17</t>
  </si>
  <si>
    <t>2_18</t>
  </si>
  <si>
    <t>3_14</t>
  </si>
  <si>
    <t>Most outer</t>
  </si>
  <si>
    <t>Most inner</t>
  </si>
  <si>
    <t>Powered_ave</t>
  </si>
  <si>
    <t>Turn_non_side</t>
  </si>
  <si>
    <t>mp</t>
  </si>
  <si>
    <t>most in</t>
  </si>
  <si>
    <t>most out</t>
  </si>
  <si>
    <t>very close!</t>
  </si>
  <si>
    <t>What about TE'edges of turning flight?</t>
  </si>
  <si>
    <t>The struts of the non-turning are 2% smaller compared to powered flight, increase TE measurements by 2%</t>
  </si>
  <si>
    <t>TE'edges of non-turning are 3% larger compared to powered flight</t>
  </si>
  <si>
    <t>Turn_side</t>
  </si>
  <si>
    <t>The struts of the turning are eqaul to those in powered flight. Increase TE measurements by 0%</t>
  </si>
  <si>
    <t>w_p1</t>
  </si>
  <si>
    <t>w_p2</t>
  </si>
  <si>
    <t>w_p3</t>
  </si>
  <si>
    <t>Most in</t>
  </si>
  <si>
    <t>Most out</t>
  </si>
  <si>
    <t>powered/depowered</t>
  </si>
  <si>
    <t>Additional Ratio due to perpendicular to axis of rotation</t>
  </si>
  <si>
    <t>length KCU to TE middle plate</t>
  </si>
  <si>
    <t>number needs validation</t>
  </si>
  <si>
    <t>Max angle</t>
  </si>
  <si>
    <t>Chord middle</t>
  </si>
  <si>
    <t>additional factor</t>
  </si>
  <si>
    <t>w_p4</t>
  </si>
  <si>
    <t>time</t>
  </si>
  <si>
    <t>Diff wrt powered</t>
  </si>
  <si>
    <t>Average distortion wrt powered state</t>
  </si>
  <si>
    <t>Average TE edges</t>
  </si>
  <si>
    <t>non_turning side</t>
  </si>
  <si>
    <t>turning side</t>
  </si>
  <si>
    <t>Average TE edges correct to powered state</t>
  </si>
  <si>
    <t>Decrease when correcting</t>
  </si>
  <si>
    <t>Increase when correcting</t>
  </si>
  <si>
    <t>Average TE lengths of the powered state</t>
  </si>
  <si>
    <t>Differences wrt powered state</t>
  </si>
  <si>
    <t>non_turning side average</t>
  </si>
  <si>
    <t>turning side average</t>
  </si>
  <si>
    <t>From straight flight analysis</t>
  </si>
  <si>
    <t>depowered/powered</t>
  </si>
  <si>
    <t>Widths</t>
  </si>
  <si>
    <t>Gemiddelde verschil (turn/non-turn)</t>
  </si>
  <si>
    <t>turn_width</t>
  </si>
  <si>
    <t>non_turn_width</t>
  </si>
  <si>
    <t>left knot</t>
  </si>
  <si>
    <t>pulley</t>
  </si>
  <si>
    <t>20% from 1st strut</t>
  </si>
  <si>
    <t>10% from 3rd strut</t>
  </si>
  <si>
    <t>50% from 1st strut</t>
  </si>
  <si>
    <t>80% from 2nd strut</t>
  </si>
  <si>
    <t>0% from 1st strut</t>
  </si>
  <si>
    <t>30% from 3rd strut</t>
  </si>
  <si>
    <t>70% from 1st strut</t>
  </si>
  <si>
    <t>70% from 2nd strut</t>
  </si>
  <si>
    <t>Depowered</t>
  </si>
  <si>
    <t>Powered</t>
  </si>
  <si>
    <t>15% from 3rd strut</t>
  </si>
  <si>
    <t>75% from 2nd strut</t>
  </si>
  <si>
    <t>Average</t>
  </si>
  <si>
    <t>Average distortion effect</t>
  </si>
  <si>
    <t>w_p1 (TE)</t>
  </si>
  <si>
    <t>w_p1 (LE)</t>
  </si>
  <si>
    <t>w_p2 (TE)</t>
  </si>
  <si>
    <t>w_p2 (LE)</t>
  </si>
  <si>
    <t>w_p3 (TE)</t>
  </si>
  <si>
    <t>w_p3 (LE)</t>
  </si>
  <si>
    <t>strut 2</t>
  </si>
  <si>
    <t>strut 1</t>
  </si>
  <si>
    <t>strut 3</t>
  </si>
  <si>
    <t>strut 4</t>
  </si>
  <si>
    <t>left pulley</t>
  </si>
  <si>
    <t>right pulley</t>
  </si>
  <si>
    <t>right knot</t>
  </si>
  <si>
    <t>Line slacked?</t>
  </si>
  <si>
    <t>w_p4 (TE)</t>
  </si>
  <si>
    <t>w_p4 (LE)</t>
  </si>
  <si>
    <t>no</t>
  </si>
  <si>
    <t>y</t>
  </si>
  <si>
    <t>n</t>
  </si>
  <si>
    <t>Distortion indicators (pow/dep)</t>
  </si>
  <si>
    <t>Depowered undistorted</t>
  </si>
  <si>
    <t>% Change (pow to dep)</t>
  </si>
  <si>
    <t>% Change (dep to pow)</t>
  </si>
  <si>
    <t>Average Ballooning (pow to dep)</t>
  </si>
  <si>
    <t>factor</t>
  </si>
  <si>
    <t>(pulley)</t>
  </si>
  <si>
    <t>(knot)</t>
  </si>
  <si>
    <t>kcu</t>
  </si>
  <si>
    <t>launch</t>
  </si>
  <si>
    <t>Together</t>
  </si>
  <si>
    <t>%Change (pow to dep)</t>
  </si>
  <si>
    <t>w_p2(TE)</t>
  </si>
  <si>
    <t>w_p3(TE)</t>
  </si>
  <si>
    <t>w_p4(TE)</t>
  </si>
  <si>
    <t>knot</t>
  </si>
  <si>
    <t>Average ballooning (pow to dep)</t>
  </si>
  <si>
    <t>Distortion factor</t>
  </si>
  <si>
    <t>Old measurements, data output. Copy saved just to be sure</t>
  </si>
  <si>
    <t>beginning position (pow)</t>
  </si>
  <si>
    <t>end position (dep)</t>
  </si>
  <si>
    <t>Undistorted Values</t>
  </si>
  <si>
    <t>Numeric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</si>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</sst>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20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0" fillId="2" borderId="0" xfId="0" applyFill="1"/>
    <xf numFmtId="9" fontId="0" fillId="0" borderId="0" xfId="1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9" fontId="0" fillId="0" borderId="2" xfId="1" applyFont="1" applyBorder="1"/>
    <xf numFmtId="9" fontId="2" fillId="3" borderId="2" xfId="1" applyFont="1" applyFill="1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/>
    <xf numFmtId="0" fontId="4" fillId="0" borderId="0" xfId="0" applyFont="1" applyBorder="1"/>
    <xf numFmtId="0" fontId="3" fillId="0" borderId="5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20" fontId="0" fillId="0" borderId="7" xfId="0" applyNumberFormat="1" applyBorder="1"/>
    <xf numFmtId="9" fontId="0" fillId="2" borderId="7" xfId="1" applyFont="1" applyFill="1" applyBorder="1"/>
    <xf numFmtId="0" fontId="0" fillId="0" borderId="7" xfId="0" applyBorder="1"/>
    <xf numFmtId="0" fontId="0" fillId="4" borderId="7" xfId="0" applyFill="1" applyBorder="1"/>
    <xf numFmtId="0" fontId="0" fillId="0" borderId="7" xfId="0" applyFill="1" applyBorder="1"/>
    <xf numFmtId="0" fontId="0" fillId="0" borderId="8" xfId="0" applyBorder="1"/>
    <xf numFmtId="9" fontId="0" fillId="0" borderId="3" xfId="1" applyFont="1" applyBorder="1"/>
    <xf numFmtId="20" fontId="3" fillId="0" borderId="7" xfId="0" applyNumberFormat="1" applyFont="1" applyBorder="1"/>
    <xf numFmtId="0" fontId="0" fillId="0" borderId="0" xfId="0" applyFill="1" applyBorder="1"/>
    <xf numFmtId="0" fontId="0" fillId="0" borderId="0" xfId="0" applyFont="1" applyFill="1" applyBorder="1"/>
    <xf numFmtId="9" fontId="0" fillId="0" borderId="0" xfId="1" applyFont="1" applyFill="1"/>
    <xf numFmtId="0" fontId="3" fillId="0" borderId="0" xfId="0" applyFont="1" applyFill="1"/>
    <xf numFmtId="0" fontId="2" fillId="0" borderId="0" xfId="0" applyFont="1" applyFill="1"/>
    <xf numFmtId="0" fontId="0" fillId="0" borderId="0" xfId="0" applyFont="1" applyFill="1"/>
    <xf numFmtId="9" fontId="1" fillId="0" borderId="0" xfId="1" applyFont="1" applyFill="1"/>
    <xf numFmtId="9" fontId="3" fillId="0" borderId="0" xfId="0" applyNumberFormat="1" applyFont="1" applyFill="1"/>
    <xf numFmtId="0" fontId="0" fillId="5" borderId="0" xfId="0" applyFill="1"/>
    <xf numFmtId="0" fontId="3" fillId="0" borderId="0" xfId="0" applyFont="1" applyFill="1" applyBorder="1"/>
    <xf numFmtId="0" fontId="3" fillId="0" borderId="0" xfId="0" applyNumberFormat="1" applyFont="1" applyFill="1" applyBorder="1"/>
    <xf numFmtId="9" fontId="0" fillId="0" borderId="0" xfId="0" applyNumberFormat="1"/>
    <xf numFmtId="4" fontId="0" fillId="6" borderId="0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20" fontId="0" fillId="0" borderId="1" xfId="0" applyNumberFormat="1" applyBorder="1"/>
    <xf numFmtId="20" fontId="0" fillId="0" borderId="6" xfId="0" applyNumberFormat="1" applyBorder="1"/>
    <xf numFmtId="0" fontId="4" fillId="0" borderId="1" xfId="0" applyFont="1" applyBorder="1"/>
    <xf numFmtId="0" fontId="3" fillId="0" borderId="4" xfId="0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9" fontId="2" fillId="2" borderId="0" xfId="0" applyNumberFormat="1" applyFont="1" applyFill="1"/>
    <xf numFmtId="0" fontId="5" fillId="0" borderId="0" xfId="0" applyFont="1"/>
    <xf numFmtId="0" fontId="0" fillId="0" borderId="9" xfId="0" applyFont="1" applyFill="1" applyBorder="1"/>
    <xf numFmtId="0" fontId="0" fillId="0" borderId="10" xfId="0" applyFont="1" applyFill="1" applyBorder="1"/>
    <xf numFmtId="0" fontId="2" fillId="0" borderId="10" xfId="0" applyFont="1" applyFill="1" applyBorder="1"/>
    <xf numFmtId="0" fontId="0" fillId="0" borderId="11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2" fillId="7" borderId="10" xfId="0" applyFont="1" applyFill="1" applyBorder="1"/>
    <xf numFmtId="0" fontId="1" fillId="8" borderId="10" xfId="1" applyNumberFormat="1" applyFont="1" applyFill="1" applyBorder="1"/>
    <xf numFmtId="0" fontId="1" fillId="8" borderId="11" xfId="1" applyNumberFormat="1" applyFont="1" applyFill="1" applyBorder="1"/>
    <xf numFmtId="10" fontId="0" fillId="0" borderId="0" xfId="0" applyNumberFormat="1"/>
    <xf numFmtId="0" fontId="0" fillId="9" borderId="1" xfId="0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8" xfId="0" applyFill="1" applyBorder="1"/>
    <xf numFmtId="0" fontId="3" fillId="9" borderId="4" xfId="0" applyFont="1" applyFill="1" applyBorder="1"/>
    <xf numFmtId="0" fontId="3" fillId="9" borderId="6" xfId="0" applyFont="1" applyFill="1" applyBorder="1"/>
    <xf numFmtId="9" fontId="0" fillId="0" borderId="0" xfId="1" applyFont="1" applyFill="1" applyBorder="1"/>
    <xf numFmtId="0" fontId="2" fillId="0" borderId="0" xfId="0" applyFont="1" applyFill="1" applyBorder="1"/>
    <xf numFmtId="9" fontId="2" fillId="0" borderId="0" xfId="1" applyFont="1" applyFill="1" applyBorder="1"/>
    <xf numFmtId="0" fontId="4" fillId="0" borderId="0" xfId="0" applyFont="1" applyFill="1" applyBorder="1"/>
    <xf numFmtId="20" fontId="3" fillId="0" borderId="0" xfId="0" applyNumberFormat="1" applyFont="1" applyFill="1" applyBorder="1"/>
    <xf numFmtId="20" fontId="0" fillId="0" borderId="0" xfId="0" applyNumberFormat="1" applyFill="1" applyBorder="1"/>
    <xf numFmtId="164" fontId="0" fillId="0" borderId="0" xfId="1" applyNumberFormat="1" applyFont="1"/>
    <xf numFmtId="10" fontId="0" fillId="4" borderId="9" xfId="1" applyNumberFormat="1" applyFont="1" applyFill="1" applyBorder="1"/>
    <xf numFmtId="10" fontId="0" fillId="4" borderId="10" xfId="1" applyNumberFormat="1" applyFont="1" applyFill="1" applyBorder="1"/>
    <xf numFmtId="10" fontId="0" fillId="4" borderId="0" xfId="0" applyNumberFormat="1" applyFill="1"/>
    <xf numFmtId="10" fontId="0" fillId="10" borderId="10" xfId="1" applyNumberFormat="1" applyFont="1" applyFill="1" applyBorder="1"/>
    <xf numFmtId="10" fontId="0" fillId="10" borderId="11" xfId="1" applyNumberFormat="1" applyFont="1" applyFill="1" applyBorder="1"/>
    <xf numFmtId="10" fontId="0" fillId="10" borderId="0" xfId="0" applyNumberFormat="1" applyFill="1"/>
    <xf numFmtId="0" fontId="6" fillId="0" borderId="0" xfId="0" applyFont="1"/>
    <xf numFmtId="165" fontId="0" fillId="2" borderId="0" xfId="0" applyNumberFormat="1" applyFill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7" xfId="0" applyFill="1" applyBorder="1"/>
    <xf numFmtId="0" fontId="0" fillId="3" borderId="8" xfId="0" applyFill="1" applyBorder="1"/>
    <xf numFmtId="20" fontId="2" fillId="0" borderId="0" xfId="0" applyNumberFormat="1" applyFont="1"/>
    <xf numFmtId="0" fontId="0" fillId="0" borderId="0" xfId="0" applyFont="1"/>
    <xf numFmtId="0" fontId="0" fillId="8" borderId="0" xfId="0" applyFont="1" applyFill="1"/>
    <xf numFmtId="0" fontId="0" fillId="8" borderId="0" xfId="0" applyFill="1"/>
    <xf numFmtId="0" fontId="3" fillId="8" borderId="0" xfId="0" applyFont="1" applyFill="1"/>
    <xf numFmtId="0" fontId="2" fillId="8" borderId="0" xfId="0" applyFont="1" applyFill="1"/>
    <xf numFmtId="0" fontId="0" fillId="0" borderId="0" xfId="0" applyFill="1"/>
    <xf numFmtId="0" fontId="2" fillId="9" borderId="0" xfId="0" applyFont="1" applyFill="1"/>
    <xf numFmtId="0" fontId="0" fillId="9" borderId="0" xfId="0" applyFill="1"/>
    <xf numFmtId="0" fontId="3" fillId="9" borderId="0" xfId="0" applyFont="1" applyFill="1"/>
    <xf numFmtId="20" fontId="2" fillId="0" borderId="12" xfId="0" applyNumberFormat="1" applyFont="1" applyBorder="1"/>
    <xf numFmtId="0" fontId="0" fillId="0" borderId="12" xfId="0" applyBorder="1"/>
    <xf numFmtId="0" fontId="0" fillId="8" borderId="12" xfId="0" applyFill="1" applyBorder="1"/>
    <xf numFmtId="0" fontId="0" fillId="9" borderId="12" xfId="0" applyFill="1" applyBorder="1"/>
    <xf numFmtId="10" fontId="0" fillId="0" borderId="0" xfId="1" applyNumberFormat="1" applyFont="1" applyBorder="1"/>
    <xf numFmtId="0" fontId="0" fillId="11" borderId="0" xfId="0" applyFill="1"/>
    <xf numFmtId="0" fontId="2" fillId="11" borderId="0" xfId="0" applyFont="1" applyFill="1" applyBorder="1"/>
    <xf numFmtId="0" fontId="7" fillId="11" borderId="0" xfId="0" applyFont="1" applyFill="1" applyBorder="1"/>
    <xf numFmtId="10" fontId="7" fillId="11" borderId="0" xfId="1" applyNumberFormat="1" applyFont="1" applyFill="1" applyBorder="1"/>
    <xf numFmtId="9" fontId="7" fillId="11" borderId="0" xfId="1" applyFont="1" applyFill="1" applyBorder="1"/>
    <xf numFmtId="0" fontId="2" fillId="11" borderId="0" xfId="0" applyFont="1" applyFill="1"/>
    <xf numFmtId="0" fontId="7" fillId="11" borderId="0" xfId="0" applyFont="1" applyFill="1"/>
    <xf numFmtId="0" fontId="0" fillId="9" borderId="0" xfId="0" applyFont="1" applyFill="1"/>
    <xf numFmtId="10" fontId="7" fillId="11" borderId="0" xfId="1" applyNumberFormat="1" applyFont="1" applyFill="1"/>
    <xf numFmtId="0" fontId="0" fillId="12" borderId="10" xfId="0" applyFill="1" applyBorder="1"/>
    <xf numFmtId="0" fontId="0" fillId="12" borderId="11" xfId="0" applyFill="1" applyBorder="1"/>
    <xf numFmtId="0" fontId="2" fillId="12" borderId="9" xfId="0" applyFont="1" applyFill="1" applyBorder="1"/>
    <xf numFmtId="0" fontId="0" fillId="7" borderId="0" xfId="0" applyFill="1" applyBorder="1"/>
    <xf numFmtId="0" fontId="0" fillId="13" borderId="0" xfId="0" applyFill="1"/>
    <xf numFmtId="0" fontId="2" fillId="7" borderId="0" xfId="0" applyFont="1" applyFill="1" applyBorder="1"/>
    <xf numFmtId="10" fontId="2" fillId="7" borderId="0" xfId="0" applyNumberFormat="1" applyFont="1" applyFill="1" applyBorder="1"/>
    <xf numFmtId="9" fontId="2" fillId="7" borderId="0" xfId="0" applyNumberFormat="1" applyFont="1" applyFill="1" applyBorder="1"/>
    <xf numFmtId="0" fontId="0" fillId="0" borderId="10" xfId="0" applyFill="1" applyBorder="1"/>
    <xf numFmtId="0" fontId="2" fillId="0" borderId="9" xfId="0" applyFont="1" applyFill="1" applyBorder="1"/>
    <xf numFmtId="0" fontId="0" fillId="0" borderId="11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E670-A47F-4F7F-A6F0-505E384CA534}">
  <dimension ref="A1:W11"/>
  <sheetViews>
    <sheetView zoomScale="145" zoomScaleNormal="145" workbookViewId="0">
      <selection activeCell="C28" sqref="C28"/>
    </sheetView>
  </sheetViews>
  <sheetFormatPr defaultRowHeight="15" x14ac:dyDescent="0.25"/>
  <cols>
    <col min="1" max="1" width="15.140625" customWidth="1"/>
    <col min="17" max="17" width="10.28515625" customWidth="1"/>
    <col min="23" max="23" width="12.42578125" customWidth="1"/>
  </cols>
  <sheetData>
    <row r="1" spans="1:23" x14ac:dyDescent="0.25">
      <c r="A1" s="5" t="s">
        <v>3</v>
      </c>
      <c r="B1" s="2" t="s">
        <v>4</v>
      </c>
      <c r="C1" s="102" t="s">
        <v>106</v>
      </c>
      <c r="D1" s="102" t="s">
        <v>107</v>
      </c>
      <c r="E1" s="102" t="s">
        <v>108</v>
      </c>
      <c r="F1" s="102" t="s">
        <v>109</v>
      </c>
      <c r="G1" s="102" t="s">
        <v>110</v>
      </c>
      <c r="H1" s="102" t="s">
        <v>111</v>
      </c>
      <c r="I1" s="102" t="s">
        <v>120</v>
      </c>
      <c r="J1" s="102" t="s">
        <v>121</v>
      </c>
      <c r="K1" s="102" t="s">
        <v>113</v>
      </c>
      <c r="L1" s="102" t="s">
        <v>112</v>
      </c>
      <c r="M1" s="102" t="s">
        <v>114</v>
      </c>
      <c r="N1" s="102" t="s">
        <v>115</v>
      </c>
      <c r="O1" s="102" t="s">
        <v>116</v>
      </c>
      <c r="P1" s="102" t="s">
        <v>29</v>
      </c>
      <c r="Q1" s="102" t="s">
        <v>117</v>
      </c>
      <c r="R1" s="102" t="s">
        <v>29</v>
      </c>
      <c r="S1" s="102" t="s">
        <v>90</v>
      </c>
      <c r="T1" s="102" t="s">
        <v>29</v>
      </c>
      <c r="U1" s="102" t="s">
        <v>118</v>
      </c>
      <c r="V1" s="102" t="s">
        <v>29</v>
      </c>
      <c r="W1" s="102" t="s">
        <v>119</v>
      </c>
    </row>
    <row r="2" spans="1:23" x14ac:dyDescent="0.25">
      <c r="A2" s="101">
        <v>8.1944444444444445E-2</v>
      </c>
      <c r="B2">
        <v>1254</v>
      </c>
      <c r="C2">
        <v>165</v>
      </c>
      <c r="D2">
        <v>183</v>
      </c>
      <c r="E2">
        <v>155</v>
      </c>
      <c r="F2">
        <v>180</v>
      </c>
      <c r="G2">
        <v>154</v>
      </c>
      <c r="H2">
        <v>185</v>
      </c>
      <c r="I2">
        <v>163</v>
      </c>
      <c r="J2">
        <v>189</v>
      </c>
      <c r="K2">
        <v>301</v>
      </c>
      <c r="L2">
        <v>296</v>
      </c>
      <c r="M2">
        <v>288</v>
      </c>
      <c r="N2">
        <v>247</v>
      </c>
      <c r="O2">
        <v>75</v>
      </c>
      <c r="P2">
        <v>3</v>
      </c>
      <c r="Q2">
        <v>80</v>
      </c>
      <c r="R2">
        <v>3</v>
      </c>
      <c r="S2">
        <v>80</v>
      </c>
      <c r="T2">
        <v>4</v>
      </c>
      <c r="U2">
        <v>70</v>
      </c>
      <c r="V2">
        <v>4</v>
      </c>
      <c r="W2" t="s">
        <v>122</v>
      </c>
    </row>
    <row r="3" spans="1:23" x14ac:dyDescent="0.25">
      <c r="A3" s="101">
        <v>0.10069444444444443</v>
      </c>
      <c r="B3">
        <v>1250</v>
      </c>
      <c r="C3">
        <v>161</v>
      </c>
      <c r="D3">
        <v>181</v>
      </c>
      <c r="E3">
        <v>153</v>
      </c>
      <c r="F3">
        <v>179</v>
      </c>
      <c r="G3">
        <v>154</v>
      </c>
      <c r="H3">
        <v>185</v>
      </c>
      <c r="I3">
        <v>163</v>
      </c>
      <c r="J3">
        <v>194</v>
      </c>
      <c r="K3">
        <v>299</v>
      </c>
      <c r="L3">
        <v>298</v>
      </c>
      <c r="M3">
        <v>288</v>
      </c>
      <c r="N3">
        <v>251</v>
      </c>
      <c r="O3">
        <v>80</v>
      </c>
      <c r="P3">
        <v>3</v>
      </c>
      <c r="Q3">
        <v>80</v>
      </c>
      <c r="R3">
        <v>3</v>
      </c>
      <c r="S3">
        <v>55</v>
      </c>
      <c r="T3">
        <v>4</v>
      </c>
      <c r="U3">
        <v>80</v>
      </c>
      <c r="V3">
        <v>4</v>
      </c>
      <c r="W3" t="s">
        <v>122</v>
      </c>
    </row>
    <row r="4" spans="1:23" x14ac:dyDescent="0.25">
      <c r="A4" s="101">
        <v>0.1173611111111111</v>
      </c>
      <c r="B4">
        <v>1257</v>
      </c>
      <c r="C4">
        <v>163</v>
      </c>
      <c r="D4">
        <v>180</v>
      </c>
      <c r="E4">
        <v>155</v>
      </c>
      <c r="F4">
        <v>180</v>
      </c>
      <c r="G4">
        <v>154</v>
      </c>
      <c r="H4">
        <v>187</v>
      </c>
      <c r="I4">
        <v>165</v>
      </c>
      <c r="J4">
        <v>191</v>
      </c>
      <c r="K4">
        <v>297</v>
      </c>
      <c r="L4">
        <v>295</v>
      </c>
      <c r="M4">
        <v>288</v>
      </c>
      <c r="N4">
        <v>248</v>
      </c>
      <c r="O4">
        <v>90</v>
      </c>
      <c r="P4">
        <v>3</v>
      </c>
      <c r="Q4">
        <v>80</v>
      </c>
      <c r="R4">
        <v>3</v>
      </c>
      <c r="S4">
        <v>60</v>
      </c>
      <c r="T4">
        <v>4</v>
      </c>
      <c r="U4">
        <v>80</v>
      </c>
      <c r="V4">
        <v>4</v>
      </c>
      <c r="W4" t="s">
        <v>122</v>
      </c>
    </row>
    <row r="5" spans="1:23" x14ac:dyDescent="0.25">
      <c r="A5" s="101">
        <v>0.11805555555555557</v>
      </c>
      <c r="B5">
        <v>1256</v>
      </c>
      <c r="C5">
        <v>161</v>
      </c>
      <c r="D5">
        <v>184</v>
      </c>
      <c r="E5">
        <v>153</v>
      </c>
      <c r="F5">
        <v>177.5</v>
      </c>
      <c r="G5">
        <v>155</v>
      </c>
      <c r="H5">
        <v>187.5</v>
      </c>
      <c r="I5">
        <v>165</v>
      </c>
      <c r="J5">
        <v>193</v>
      </c>
      <c r="K5">
        <v>298</v>
      </c>
      <c r="L5">
        <v>299</v>
      </c>
      <c r="M5">
        <v>288</v>
      </c>
      <c r="N5">
        <v>247</v>
      </c>
      <c r="O5">
        <v>85</v>
      </c>
      <c r="P5">
        <v>3</v>
      </c>
      <c r="Q5">
        <v>80</v>
      </c>
      <c r="R5">
        <v>3</v>
      </c>
      <c r="S5">
        <v>70</v>
      </c>
      <c r="T5">
        <v>4</v>
      </c>
      <c r="U5">
        <v>80</v>
      </c>
      <c r="V5">
        <v>4</v>
      </c>
      <c r="W5" t="s">
        <v>122</v>
      </c>
    </row>
    <row r="6" spans="1:23" x14ac:dyDescent="0.25">
      <c r="A6" s="101">
        <v>0.14652777777777778</v>
      </c>
      <c r="B6">
        <v>1254</v>
      </c>
      <c r="C6">
        <v>161</v>
      </c>
      <c r="D6">
        <v>184</v>
      </c>
      <c r="E6">
        <v>153</v>
      </c>
      <c r="F6">
        <v>180</v>
      </c>
      <c r="G6">
        <v>153</v>
      </c>
      <c r="H6">
        <v>185</v>
      </c>
      <c r="I6">
        <v>163</v>
      </c>
      <c r="J6">
        <v>190</v>
      </c>
      <c r="K6">
        <v>299</v>
      </c>
      <c r="L6">
        <v>297</v>
      </c>
      <c r="M6">
        <v>290</v>
      </c>
      <c r="N6">
        <v>253</v>
      </c>
      <c r="O6">
        <v>85</v>
      </c>
      <c r="P6">
        <v>3</v>
      </c>
      <c r="Q6">
        <v>75</v>
      </c>
      <c r="R6">
        <v>3</v>
      </c>
      <c r="S6">
        <v>60</v>
      </c>
      <c r="T6">
        <v>4</v>
      </c>
      <c r="U6">
        <v>80</v>
      </c>
      <c r="V6">
        <v>4</v>
      </c>
      <c r="W6" t="s">
        <v>122</v>
      </c>
    </row>
    <row r="8" spans="1:23" x14ac:dyDescent="0.25">
      <c r="A8" s="5" t="s">
        <v>104</v>
      </c>
      <c r="B8" s="2">
        <f>AVERAGE(B2:B6)</f>
        <v>1254.2</v>
      </c>
      <c r="C8" s="2">
        <f t="shared" ref="C8:V8" si="0">AVERAGE(C2:C6)</f>
        <v>162.19999999999999</v>
      </c>
      <c r="D8" s="2">
        <f t="shared" si="0"/>
        <v>182.4</v>
      </c>
      <c r="E8" s="2">
        <f t="shared" si="0"/>
        <v>153.80000000000001</v>
      </c>
      <c r="F8" s="2">
        <f t="shared" si="0"/>
        <v>179.3</v>
      </c>
      <c r="G8" s="2">
        <f>AVERAGE(G2:G6)</f>
        <v>154</v>
      </c>
      <c r="H8" s="2">
        <f t="shared" si="0"/>
        <v>185.9</v>
      </c>
      <c r="I8" s="2">
        <f t="shared" si="0"/>
        <v>163.80000000000001</v>
      </c>
      <c r="J8" s="2">
        <f t="shared" si="0"/>
        <v>191.4</v>
      </c>
      <c r="K8" s="2">
        <f t="shared" si="0"/>
        <v>298.8</v>
      </c>
      <c r="L8" s="2">
        <f t="shared" si="0"/>
        <v>297</v>
      </c>
      <c r="M8" s="2">
        <f t="shared" si="0"/>
        <v>288.39999999999998</v>
      </c>
      <c r="N8" s="2">
        <f t="shared" si="0"/>
        <v>249.2</v>
      </c>
      <c r="O8" s="2">
        <f t="shared" si="0"/>
        <v>83</v>
      </c>
      <c r="P8" s="2">
        <f t="shared" si="0"/>
        <v>3</v>
      </c>
      <c r="Q8" s="2">
        <f t="shared" si="0"/>
        <v>79</v>
      </c>
      <c r="R8" s="2">
        <f t="shared" si="0"/>
        <v>3</v>
      </c>
      <c r="S8" s="2">
        <f t="shared" si="0"/>
        <v>65</v>
      </c>
      <c r="T8" s="2">
        <f t="shared" si="0"/>
        <v>4</v>
      </c>
      <c r="U8" s="2">
        <f t="shared" si="0"/>
        <v>78</v>
      </c>
      <c r="V8" s="2">
        <f t="shared" si="0"/>
        <v>4</v>
      </c>
    </row>
    <row r="10" spans="1:23" x14ac:dyDescent="0.25">
      <c r="A10" s="101"/>
    </row>
    <row r="11" spans="1:23" x14ac:dyDescent="0.25">
      <c r="A11" s="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D8B-EBB7-4194-B2C9-8C8D76BA4770}">
  <dimension ref="A1:X75"/>
  <sheetViews>
    <sheetView tabSelected="1" topLeftCell="L16" zoomScaleNormal="100" workbookViewId="0">
      <selection activeCell="U26" sqref="U26"/>
    </sheetView>
  </sheetViews>
  <sheetFormatPr defaultRowHeight="15" x14ac:dyDescent="0.25"/>
  <cols>
    <col min="1" max="1" width="30.85546875" customWidth="1"/>
    <col min="2" max="2" width="10.42578125" customWidth="1"/>
    <col min="15" max="15" width="12.5703125" customWidth="1"/>
    <col min="16" max="16" width="8.7109375" customWidth="1"/>
    <col min="17" max="17" width="10.28515625" customWidth="1"/>
    <col min="19" max="19" width="10" customWidth="1"/>
  </cols>
  <sheetData>
    <row r="1" spans="1:24" x14ac:dyDescent="0.25">
      <c r="A1" s="5" t="s">
        <v>2</v>
      </c>
      <c r="B1" s="2" t="s">
        <v>4</v>
      </c>
      <c r="C1" s="102" t="s">
        <v>106</v>
      </c>
      <c r="D1" s="103" t="s">
        <v>107</v>
      </c>
      <c r="E1" s="102" t="s">
        <v>108</v>
      </c>
      <c r="F1" s="103" t="s">
        <v>109</v>
      </c>
      <c r="G1" s="102" t="s">
        <v>110</v>
      </c>
      <c r="H1" s="103" t="s">
        <v>111</v>
      </c>
      <c r="I1" s="102" t="s">
        <v>120</v>
      </c>
      <c r="J1" s="103" t="s">
        <v>121</v>
      </c>
      <c r="K1" s="102" t="s">
        <v>113</v>
      </c>
      <c r="L1" s="102" t="s">
        <v>112</v>
      </c>
      <c r="M1" s="102" t="s">
        <v>114</v>
      </c>
      <c r="N1" s="102" t="s">
        <v>115</v>
      </c>
      <c r="O1" s="123" t="s">
        <v>116</v>
      </c>
      <c r="P1" s="123" t="s">
        <v>29</v>
      </c>
      <c r="Q1" s="123" t="s">
        <v>117</v>
      </c>
      <c r="R1" s="123" t="s">
        <v>29</v>
      </c>
      <c r="S1" s="123" t="s">
        <v>90</v>
      </c>
      <c r="T1" s="123" t="s">
        <v>29</v>
      </c>
      <c r="U1" s="123" t="s">
        <v>118</v>
      </c>
      <c r="V1" s="123" t="s">
        <v>29</v>
      </c>
      <c r="W1" s="102" t="s">
        <v>119</v>
      </c>
      <c r="X1" s="1"/>
    </row>
    <row r="2" spans="1:24" x14ac:dyDescent="0.25">
      <c r="A2" s="101">
        <v>2.7777777777777779E-3</v>
      </c>
      <c r="B2">
        <v>1183</v>
      </c>
      <c r="C2">
        <v>158</v>
      </c>
      <c r="D2" s="104">
        <v>184</v>
      </c>
      <c r="E2">
        <v>153</v>
      </c>
      <c r="F2" s="104">
        <v>184.5</v>
      </c>
      <c r="G2">
        <v>151.5</v>
      </c>
      <c r="H2" s="104">
        <v>192.5</v>
      </c>
      <c r="I2">
        <v>143</v>
      </c>
      <c r="J2" s="104">
        <v>195</v>
      </c>
      <c r="K2">
        <v>280</v>
      </c>
      <c r="L2">
        <v>287</v>
      </c>
      <c r="M2">
        <v>287</v>
      </c>
      <c r="N2">
        <v>259</v>
      </c>
      <c r="O2" s="109">
        <v>10</v>
      </c>
      <c r="P2" s="109">
        <v>2</v>
      </c>
      <c r="Q2" s="109">
        <v>0</v>
      </c>
      <c r="R2" s="109">
        <v>2</v>
      </c>
      <c r="S2" s="109">
        <v>5</v>
      </c>
      <c r="T2" s="109">
        <v>4</v>
      </c>
      <c r="U2" s="109">
        <v>25</v>
      </c>
      <c r="V2" s="109">
        <v>4</v>
      </c>
      <c r="W2" t="s">
        <v>123</v>
      </c>
    </row>
    <row r="3" spans="1:24" x14ac:dyDescent="0.25">
      <c r="A3" s="101">
        <v>3.472222222222222E-3</v>
      </c>
      <c r="B3">
        <v>1180</v>
      </c>
      <c r="C3">
        <v>160</v>
      </c>
      <c r="D3" s="104">
        <v>185</v>
      </c>
      <c r="E3">
        <v>154</v>
      </c>
      <c r="F3" s="104">
        <v>183</v>
      </c>
      <c r="G3">
        <v>151</v>
      </c>
      <c r="H3" s="104">
        <v>193</v>
      </c>
      <c r="I3">
        <v>142</v>
      </c>
      <c r="J3" s="104">
        <v>194</v>
      </c>
      <c r="K3">
        <v>280</v>
      </c>
      <c r="L3">
        <v>285</v>
      </c>
      <c r="M3">
        <v>288</v>
      </c>
      <c r="N3">
        <v>256</v>
      </c>
      <c r="O3" s="109">
        <v>5</v>
      </c>
      <c r="P3" s="109">
        <v>2</v>
      </c>
      <c r="Q3" s="109">
        <f>-5</f>
        <v>-5</v>
      </c>
      <c r="R3" s="109">
        <v>2</v>
      </c>
      <c r="S3" s="109">
        <v>15</v>
      </c>
      <c r="T3" s="109">
        <v>4</v>
      </c>
      <c r="U3" s="109">
        <v>25</v>
      </c>
      <c r="V3" s="109">
        <v>4</v>
      </c>
      <c r="W3" t="s">
        <v>123</v>
      </c>
    </row>
    <row r="4" spans="1:24" x14ac:dyDescent="0.25">
      <c r="A4" s="101">
        <v>5.2777777777777778E-2</v>
      </c>
      <c r="B4">
        <v>1210</v>
      </c>
      <c r="C4">
        <v>160</v>
      </c>
      <c r="D4" s="104">
        <v>185</v>
      </c>
      <c r="E4">
        <v>157</v>
      </c>
      <c r="F4" s="104">
        <v>185</v>
      </c>
      <c r="G4">
        <v>154</v>
      </c>
      <c r="H4" s="104">
        <v>192</v>
      </c>
      <c r="I4">
        <v>146</v>
      </c>
      <c r="J4" s="104">
        <v>200</v>
      </c>
      <c r="K4">
        <v>286</v>
      </c>
      <c r="L4">
        <v>292</v>
      </c>
      <c r="M4">
        <v>294</v>
      </c>
      <c r="N4">
        <v>260</v>
      </c>
      <c r="O4" s="109">
        <v>10</v>
      </c>
      <c r="P4" s="109">
        <v>2</v>
      </c>
      <c r="Q4" s="109">
        <f>-15</f>
        <v>-15</v>
      </c>
      <c r="R4" s="109">
        <v>2</v>
      </c>
      <c r="S4" s="109">
        <v>5</v>
      </c>
      <c r="T4" s="109">
        <v>4</v>
      </c>
      <c r="U4" s="109">
        <v>5</v>
      </c>
      <c r="V4" s="109">
        <v>4</v>
      </c>
      <c r="W4" t="s">
        <v>123</v>
      </c>
    </row>
    <row r="5" spans="1:24" x14ac:dyDescent="0.25">
      <c r="A5" s="101">
        <v>5.6944444444444443E-2</v>
      </c>
      <c r="B5">
        <v>1198</v>
      </c>
      <c r="C5">
        <v>159</v>
      </c>
      <c r="D5" s="104">
        <v>186</v>
      </c>
      <c r="E5">
        <v>153</v>
      </c>
      <c r="F5" s="104">
        <v>187</v>
      </c>
      <c r="G5">
        <v>153</v>
      </c>
      <c r="H5" s="104">
        <v>191</v>
      </c>
      <c r="I5">
        <v>146</v>
      </c>
      <c r="J5" s="104">
        <v>195</v>
      </c>
      <c r="K5">
        <v>283</v>
      </c>
      <c r="L5">
        <v>287</v>
      </c>
      <c r="M5">
        <v>280</v>
      </c>
      <c r="N5">
        <v>272</v>
      </c>
      <c r="O5" s="109">
        <v>5</v>
      </c>
      <c r="P5" s="109">
        <v>2</v>
      </c>
      <c r="Q5" s="109">
        <v>0</v>
      </c>
      <c r="R5" s="109">
        <v>2</v>
      </c>
      <c r="S5" s="109">
        <v>15</v>
      </c>
      <c r="T5" s="109">
        <v>4</v>
      </c>
      <c r="U5" s="109">
        <v>10</v>
      </c>
      <c r="V5" s="109">
        <v>4</v>
      </c>
      <c r="W5" t="s">
        <v>123</v>
      </c>
    </row>
    <row r="6" spans="1:24" x14ac:dyDescent="0.25">
      <c r="A6" s="101">
        <v>5.7638888888888885E-2</v>
      </c>
      <c r="B6">
        <v>1204</v>
      </c>
      <c r="C6">
        <v>161</v>
      </c>
      <c r="D6" s="104">
        <v>185</v>
      </c>
      <c r="E6">
        <v>156</v>
      </c>
      <c r="F6" s="104">
        <v>183.5</v>
      </c>
      <c r="G6">
        <v>156</v>
      </c>
      <c r="H6" s="104">
        <v>191</v>
      </c>
      <c r="I6">
        <v>145</v>
      </c>
      <c r="J6" s="104">
        <v>198</v>
      </c>
      <c r="K6">
        <v>280</v>
      </c>
      <c r="L6">
        <v>290</v>
      </c>
      <c r="M6">
        <v>290</v>
      </c>
      <c r="N6">
        <v>258</v>
      </c>
      <c r="O6" s="109">
        <v>0</v>
      </c>
      <c r="P6" s="109">
        <v>2</v>
      </c>
      <c r="Q6" s="109">
        <v>0</v>
      </c>
      <c r="R6" s="109">
        <v>2</v>
      </c>
      <c r="S6" s="109">
        <v>10</v>
      </c>
      <c r="T6" s="109">
        <v>4</v>
      </c>
      <c r="U6" s="109">
        <v>5</v>
      </c>
      <c r="V6" s="109">
        <v>4</v>
      </c>
      <c r="W6" t="s">
        <v>123</v>
      </c>
    </row>
    <row r="7" spans="1:24" x14ac:dyDescent="0.25">
      <c r="D7" s="104"/>
      <c r="F7" s="104"/>
      <c r="H7" s="104"/>
      <c r="J7" s="104"/>
      <c r="O7" s="109"/>
      <c r="P7" s="109"/>
      <c r="Q7" s="109"/>
      <c r="R7" s="109"/>
      <c r="S7" s="109"/>
      <c r="T7" s="109"/>
      <c r="U7" s="109"/>
      <c r="V7" s="109"/>
    </row>
    <row r="8" spans="1:24" x14ac:dyDescent="0.25">
      <c r="A8" s="5" t="s">
        <v>104</v>
      </c>
      <c r="B8" s="2">
        <f>AVERAGE(B2:B6)</f>
        <v>1195</v>
      </c>
      <c r="C8" s="2">
        <f t="shared" ref="C8:V8" si="0">AVERAGE(C2:C6)</f>
        <v>159.6</v>
      </c>
      <c r="D8" s="105">
        <f t="shared" si="0"/>
        <v>185</v>
      </c>
      <c r="E8" s="2">
        <f t="shared" si="0"/>
        <v>154.6</v>
      </c>
      <c r="F8" s="105">
        <f t="shared" si="0"/>
        <v>184.6</v>
      </c>
      <c r="G8" s="2">
        <f t="shared" si="0"/>
        <v>153.1</v>
      </c>
      <c r="H8" s="105">
        <f t="shared" si="0"/>
        <v>191.9</v>
      </c>
      <c r="I8" s="2">
        <f t="shared" si="0"/>
        <v>144.4</v>
      </c>
      <c r="J8" s="105">
        <f t="shared" si="0"/>
        <v>196.4</v>
      </c>
      <c r="K8" s="2">
        <f t="shared" si="0"/>
        <v>281.8</v>
      </c>
      <c r="L8" s="2">
        <f t="shared" si="0"/>
        <v>288.2</v>
      </c>
      <c r="M8" s="2">
        <f t="shared" si="0"/>
        <v>287.8</v>
      </c>
      <c r="N8" s="2">
        <f t="shared" si="0"/>
        <v>261</v>
      </c>
      <c r="O8" s="110">
        <f t="shared" si="0"/>
        <v>6</v>
      </c>
      <c r="P8" s="110">
        <f t="shared" si="0"/>
        <v>2</v>
      </c>
      <c r="Q8" s="110">
        <f t="shared" si="0"/>
        <v>-4</v>
      </c>
      <c r="R8" s="110">
        <f t="shared" si="0"/>
        <v>2</v>
      </c>
      <c r="S8" s="110">
        <f t="shared" si="0"/>
        <v>10</v>
      </c>
      <c r="T8" s="110">
        <f t="shared" si="0"/>
        <v>4</v>
      </c>
      <c r="U8" s="110">
        <f t="shared" si="0"/>
        <v>14</v>
      </c>
      <c r="V8" s="110">
        <f t="shared" si="0"/>
        <v>4</v>
      </c>
      <c r="W8" s="102"/>
    </row>
    <row r="9" spans="1:24" x14ac:dyDescent="0.25">
      <c r="A9" s="101"/>
      <c r="D9" s="104"/>
      <c r="F9" s="104"/>
      <c r="H9" s="104"/>
      <c r="J9" s="104"/>
      <c r="O9" s="109"/>
      <c r="P9" s="109"/>
      <c r="Q9" s="109"/>
      <c r="R9" s="109"/>
      <c r="S9" s="109"/>
      <c r="T9" s="109"/>
      <c r="U9" s="109"/>
      <c r="V9" s="109"/>
    </row>
    <row r="10" spans="1:24" x14ac:dyDescent="0.25">
      <c r="A10" s="101" t="s">
        <v>101</v>
      </c>
      <c r="D10" s="104"/>
      <c r="F10" s="104"/>
      <c r="H10" s="104"/>
      <c r="J10" s="104"/>
      <c r="O10" s="109"/>
      <c r="P10" s="109"/>
      <c r="Q10" s="109"/>
      <c r="R10" s="109"/>
      <c r="S10" s="109"/>
      <c r="T10" s="109"/>
      <c r="U10" s="109"/>
      <c r="V10" s="109"/>
    </row>
    <row r="11" spans="1:24" x14ac:dyDescent="0.25">
      <c r="A11" s="101" t="s">
        <v>104</v>
      </c>
      <c r="B11">
        <f>kcu_pow!B8</f>
        <v>1254.2</v>
      </c>
      <c r="C11">
        <f>kcu_pow!C8</f>
        <v>162.19999999999999</v>
      </c>
      <c r="D11" s="104">
        <f>kcu_pow!D8</f>
        <v>182.4</v>
      </c>
      <c r="E11">
        <f>kcu_pow!E8</f>
        <v>153.80000000000001</v>
      </c>
      <c r="F11" s="104">
        <f>kcu_pow!F8</f>
        <v>179.3</v>
      </c>
      <c r="G11">
        <f>kcu_pow!G8</f>
        <v>154</v>
      </c>
      <c r="H11" s="104">
        <f>kcu_pow!H8</f>
        <v>185.9</v>
      </c>
      <c r="I11">
        <f>kcu_pow!I8</f>
        <v>163.80000000000001</v>
      </c>
      <c r="J11" s="104">
        <f>kcu_pow!J8</f>
        <v>191.4</v>
      </c>
      <c r="K11">
        <f>kcu_pow!K8</f>
        <v>298.8</v>
      </c>
      <c r="L11">
        <f>kcu_pow!L8</f>
        <v>297</v>
      </c>
      <c r="M11">
        <f>kcu_pow!M8</f>
        <v>288.39999999999998</v>
      </c>
      <c r="N11">
        <f>kcu_pow!N8</f>
        <v>249.2</v>
      </c>
      <c r="O11" s="109">
        <f>kcu_pow!O8</f>
        <v>83</v>
      </c>
      <c r="P11" s="109">
        <f>kcu_pow!P8</f>
        <v>3</v>
      </c>
      <c r="Q11" s="109">
        <f>kcu_pow!Q8</f>
        <v>79</v>
      </c>
      <c r="R11" s="109">
        <f>kcu_pow!R8</f>
        <v>3</v>
      </c>
      <c r="S11" s="109">
        <f>kcu_pow!S8</f>
        <v>65</v>
      </c>
      <c r="T11" s="109">
        <f>kcu_pow!T8</f>
        <v>4</v>
      </c>
      <c r="U11" s="109">
        <f>kcu_pow!U8</f>
        <v>78</v>
      </c>
      <c r="V11" s="109">
        <f>kcu_pow!V8</f>
        <v>4</v>
      </c>
    </row>
    <row r="12" spans="1:24" x14ac:dyDescent="0.25">
      <c r="A12" s="101"/>
      <c r="D12" s="104"/>
      <c r="F12" s="104"/>
      <c r="H12" s="104"/>
      <c r="J12" s="104"/>
      <c r="O12" s="109"/>
      <c r="P12" s="109"/>
      <c r="Q12" s="109"/>
      <c r="R12" s="109"/>
      <c r="S12" s="109"/>
      <c r="T12" s="109"/>
      <c r="U12" s="109"/>
      <c r="V12" s="109"/>
    </row>
    <row r="13" spans="1:24" x14ac:dyDescent="0.25">
      <c r="A13" s="101"/>
      <c r="D13" s="104"/>
      <c r="F13" s="104"/>
      <c r="H13" s="104"/>
      <c r="J13" s="104"/>
      <c r="O13" s="109"/>
      <c r="P13" s="109"/>
      <c r="Q13" s="109"/>
      <c r="R13" s="109"/>
      <c r="S13" s="109"/>
      <c r="T13" s="109"/>
      <c r="U13" s="109"/>
      <c r="V13" s="109"/>
    </row>
    <row r="14" spans="1:24" x14ac:dyDescent="0.25">
      <c r="A14" s="111" t="s">
        <v>125</v>
      </c>
      <c r="B14" s="112"/>
      <c r="C14" s="112"/>
      <c r="D14" s="113">
        <f>D11/D8</f>
        <v>0.98594594594594598</v>
      </c>
      <c r="E14" s="112"/>
      <c r="F14" s="113">
        <f t="shared" ref="F14:N14" si="1">F11/F8</f>
        <v>0.9712892741061756</v>
      </c>
      <c r="G14" s="112"/>
      <c r="H14" s="113">
        <f t="shared" si="1"/>
        <v>0.96873371547681086</v>
      </c>
      <c r="I14" s="112"/>
      <c r="J14" s="113">
        <f t="shared" si="1"/>
        <v>0.97454175152749489</v>
      </c>
      <c r="K14" s="112">
        <f t="shared" si="1"/>
        <v>1.0603264726756565</v>
      </c>
      <c r="L14" s="112">
        <f t="shared" si="1"/>
        <v>1.0305343511450382</v>
      </c>
      <c r="M14" s="112">
        <f t="shared" si="1"/>
        <v>1.0020847810979845</v>
      </c>
      <c r="N14" s="112">
        <f t="shared" si="1"/>
        <v>0.95478927203065134</v>
      </c>
      <c r="O14" s="114"/>
      <c r="P14" s="114"/>
      <c r="Q14" s="114"/>
      <c r="R14" s="114"/>
      <c r="S14" s="114"/>
      <c r="T14" s="114"/>
      <c r="U14" s="114"/>
      <c r="V14" s="114"/>
    </row>
    <row r="15" spans="1:24" x14ac:dyDescent="0.25">
      <c r="A15" s="19"/>
      <c r="B15" s="19"/>
      <c r="C15" s="19"/>
      <c r="D15" s="31"/>
      <c r="E15" s="19"/>
      <c r="F15" s="31"/>
      <c r="G15" s="19"/>
      <c r="H15" s="31"/>
      <c r="I15" s="19"/>
      <c r="J15" s="31"/>
      <c r="K15" s="19"/>
      <c r="L15" s="19"/>
      <c r="M15" s="19"/>
      <c r="N15" s="19"/>
      <c r="O15" s="76"/>
      <c r="P15" s="76"/>
      <c r="Q15" s="76"/>
      <c r="R15" s="76"/>
      <c r="S15" s="76"/>
      <c r="T15" s="76"/>
      <c r="U15" s="76"/>
      <c r="V15" s="76"/>
    </row>
    <row r="17" spans="1:23" x14ac:dyDescent="0.25">
      <c r="A17" s="1" t="s">
        <v>142</v>
      </c>
      <c r="B17" s="4">
        <f>(AVERAGE(K14:N14)-1)*N27</f>
        <v>1.1933719237332552E-2</v>
      </c>
      <c r="C17" s="4">
        <f>(K14-1)*N27</f>
        <v>6.0326472675656495E-2</v>
      </c>
      <c r="E17" s="4">
        <f>(AVERAGE(K14:L14)-1)*N27</f>
        <v>4.5430411910347246E-2</v>
      </c>
      <c r="G17" s="4">
        <f>(AVERAGE(L14:M14)-1)*N27</f>
        <v>1.6309566121511354E-2</v>
      </c>
      <c r="I17" s="4">
        <f>(AVERAGE(M14:N14)-1)*N27</f>
        <v>-2.1562973435682142E-2</v>
      </c>
    </row>
    <row r="20" spans="1:23" x14ac:dyDescent="0.25">
      <c r="A20" s="1" t="s">
        <v>146</v>
      </c>
      <c r="B20" s="5" t="s">
        <v>4</v>
      </c>
      <c r="C20" s="5" t="s">
        <v>147</v>
      </c>
    </row>
    <row r="21" spans="1:23" x14ac:dyDescent="0.25">
      <c r="B21">
        <f>B2*B$17+B2</f>
        <v>1197.1175898577644</v>
      </c>
      <c r="C21">
        <v>1197.1175898577644</v>
      </c>
    </row>
    <row r="22" spans="1:23" x14ac:dyDescent="0.25">
      <c r="B22">
        <f t="shared" ref="B22:B25" si="2">B3*B$17+B3</f>
        <v>1194.0817887000524</v>
      </c>
      <c r="C22">
        <v>1194.0817887000524</v>
      </c>
    </row>
    <row r="23" spans="1:23" x14ac:dyDescent="0.25">
      <c r="B23">
        <f t="shared" si="2"/>
        <v>1224.4398002771725</v>
      </c>
      <c r="C23">
        <v>1224.4398002771725</v>
      </c>
    </row>
    <row r="24" spans="1:23" x14ac:dyDescent="0.25">
      <c r="B24">
        <f t="shared" si="2"/>
        <v>1212.2965956463245</v>
      </c>
      <c r="C24">
        <v>1212.2965956463245</v>
      </c>
    </row>
    <row r="25" spans="1:23" s="107" customFormat="1" x14ac:dyDescent="0.25">
      <c r="B25">
        <f t="shared" si="2"/>
        <v>1218.3681979617484</v>
      </c>
      <c r="C25" s="107">
        <v>1218.3681979617484</v>
      </c>
    </row>
    <row r="27" spans="1:23" x14ac:dyDescent="0.25">
      <c r="A27" s="18" t="s">
        <v>126</v>
      </c>
      <c r="B27" s="19">
        <f>B8*(AVERAGE(K14:N14)-1)*N27+B8</f>
        <v>1209.2607944886124</v>
      </c>
      <c r="C27" s="19">
        <f>C8*(K14-1)*N27+C8</f>
        <v>169.22810503903477</v>
      </c>
      <c r="D27" s="31"/>
      <c r="E27" s="19">
        <f>E8*(AVERAGE(K14:L14)-1)*N27+E8</f>
        <v>161.62354168133967</v>
      </c>
      <c r="F27" s="31"/>
      <c r="G27" s="19">
        <f>G8*(AVERAGE(L14:M14)-1)*N27+G8</f>
        <v>155.59699457320338</v>
      </c>
      <c r="H27" s="31"/>
      <c r="I27" s="19">
        <f>I8*(AVERAGE(M14:N14)-1)*N27+I8</f>
        <v>141.28630663588751</v>
      </c>
      <c r="J27" s="31"/>
      <c r="K27" s="19"/>
      <c r="L27" s="19"/>
      <c r="M27" s="19" t="s">
        <v>130</v>
      </c>
      <c r="N27" s="19">
        <v>1</v>
      </c>
      <c r="O27" s="76"/>
      <c r="P27" s="76"/>
      <c r="Q27" s="76"/>
      <c r="R27" s="76"/>
      <c r="S27" s="76"/>
      <c r="T27" s="76"/>
      <c r="U27" s="76"/>
      <c r="V27" s="76"/>
    </row>
    <row r="28" spans="1:23" x14ac:dyDescent="0.25">
      <c r="A28" s="19"/>
      <c r="B28" s="19"/>
      <c r="C28" s="19"/>
      <c r="D28" s="31"/>
      <c r="E28" s="19"/>
      <c r="F28" s="31"/>
      <c r="G28" s="19"/>
      <c r="H28" s="31"/>
      <c r="I28" s="19"/>
      <c r="J28" s="31"/>
      <c r="K28" s="19"/>
      <c r="L28" s="19"/>
      <c r="M28" s="19"/>
      <c r="N28" s="19"/>
      <c r="O28" s="76"/>
      <c r="P28" s="76"/>
      <c r="Q28" s="76"/>
      <c r="R28" s="76"/>
      <c r="S28" s="76"/>
      <c r="T28" s="76"/>
      <c r="U28" s="76"/>
      <c r="V28" s="76"/>
    </row>
    <row r="29" spans="1:23" x14ac:dyDescent="0.25">
      <c r="A29" s="18" t="s">
        <v>128</v>
      </c>
      <c r="B29" s="115">
        <f>B11/B27-1</f>
        <v>3.7162542369854945E-2</v>
      </c>
      <c r="C29" s="115">
        <f>C11/C27-1</f>
        <v>-4.1530365404810587E-2</v>
      </c>
      <c r="D29" s="82"/>
      <c r="E29" s="115">
        <f>E11/E27-1</f>
        <v>-4.8405953736397667E-2</v>
      </c>
      <c r="F29" s="82"/>
      <c r="G29" s="115">
        <f>G11/G27-1</f>
        <v>-1.0263659510801437E-2</v>
      </c>
      <c r="H29" s="82"/>
      <c r="I29" s="115">
        <f>I11/I27-1</f>
        <v>0.15934802105155943</v>
      </c>
      <c r="J29" s="31"/>
      <c r="K29" s="19"/>
      <c r="L29" s="19"/>
      <c r="M29" s="19"/>
      <c r="N29" s="19"/>
      <c r="O29" s="76"/>
      <c r="P29" s="76"/>
      <c r="Q29" s="76"/>
      <c r="R29" s="76"/>
      <c r="S29" s="76"/>
      <c r="T29" s="76"/>
      <c r="U29" s="76"/>
      <c r="V29" s="76"/>
    </row>
    <row r="30" spans="1:23" ht="15.75" thickBot="1" x14ac:dyDescent="0.3">
      <c r="J30" s="31"/>
      <c r="K30" s="19"/>
      <c r="L30" s="19"/>
      <c r="M30" s="19"/>
      <c r="N30" s="19"/>
      <c r="O30" s="76">
        <f>O11-O8</f>
        <v>77</v>
      </c>
      <c r="P30" s="76"/>
      <c r="Q30" s="76">
        <f>79-Q8</f>
        <v>83</v>
      </c>
      <c r="R30" s="76"/>
      <c r="S30" s="76">
        <f>S11-S8</f>
        <v>55</v>
      </c>
      <c r="T30" s="76"/>
      <c r="U30" s="76">
        <f>U11-U8</f>
        <v>64</v>
      </c>
      <c r="V30" s="76"/>
    </row>
    <row r="31" spans="1:23" ht="15.75" thickBot="1" x14ac:dyDescent="0.3">
      <c r="A31" s="127" t="s">
        <v>133</v>
      </c>
      <c r="B31" s="125"/>
      <c r="C31" s="125"/>
      <c r="D31" s="125"/>
      <c r="E31" s="125"/>
      <c r="F31" s="125"/>
      <c r="G31" s="125"/>
      <c r="H31" s="125"/>
      <c r="I31" s="126"/>
      <c r="J31" s="31"/>
      <c r="K31" s="19"/>
      <c r="L31" s="19"/>
      <c r="M31" s="19"/>
      <c r="N31" s="19"/>
    </row>
    <row r="32" spans="1:23" ht="15.75" thickBot="1" x14ac:dyDescent="0.3">
      <c r="A32" s="118" t="s">
        <v>127</v>
      </c>
      <c r="B32" s="119">
        <f>B27/B11-1</f>
        <v>-3.5830972342040801E-2</v>
      </c>
      <c r="C32" s="119">
        <f>C27/C11-1</f>
        <v>4.3329870770868029E-2</v>
      </c>
      <c r="D32" s="120"/>
      <c r="E32" s="119">
        <f>E27/E11-1</f>
        <v>5.0868281413131822E-2</v>
      </c>
      <c r="F32" s="120"/>
      <c r="G32" s="119">
        <f>G27/G11-1</f>
        <v>1.0370094631190652E-2</v>
      </c>
      <c r="H32" s="120"/>
      <c r="I32" s="119">
        <f>I27/I11-1</f>
        <v>-0.13744623543414225</v>
      </c>
      <c r="J32" s="31"/>
      <c r="K32" s="19"/>
      <c r="L32" s="19"/>
      <c r="M32" s="19"/>
      <c r="N32" s="19"/>
      <c r="O32" s="134" t="s">
        <v>133</v>
      </c>
      <c r="P32" s="133"/>
      <c r="Q32" s="133"/>
      <c r="R32" s="133"/>
      <c r="S32" s="133"/>
      <c r="T32" s="133"/>
      <c r="U32" s="133"/>
      <c r="V32" s="133"/>
      <c r="W32" s="135"/>
    </row>
    <row r="33" spans="1:24" x14ac:dyDescent="0.25">
      <c r="A33" s="118"/>
      <c r="B33" s="119"/>
      <c r="C33" s="118"/>
      <c r="D33" s="118"/>
      <c r="E33" s="118"/>
      <c r="F33" s="118"/>
      <c r="G33" s="118"/>
      <c r="H33" s="118"/>
      <c r="I33" s="118"/>
      <c r="O33" s="118" t="s">
        <v>127</v>
      </c>
      <c r="P33" s="118"/>
      <c r="Q33" s="121"/>
      <c r="R33" s="121"/>
      <c r="S33" s="121"/>
      <c r="T33" s="121"/>
      <c r="U33" s="121"/>
      <c r="V33" s="121"/>
      <c r="W33" s="121"/>
      <c r="X33" s="107"/>
    </row>
    <row r="34" spans="1:24" x14ac:dyDescent="0.25">
      <c r="A34" s="118" t="s">
        <v>129</v>
      </c>
      <c r="B34" s="119">
        <f>AVERAGE(C32,E32,G32)</f>
        <v>3.485608227173017E-2</v>
      </c>
      <c r="C34" s="119"/>
      <c r="D34" s="120"/>
      <c r="E34" s="119"/>
      <c r="F34" s="120"/>
      <c r="G34" s="119"/>
      <c r="H34" s="120"/>
      <c r="I34" s="119"/>
      <c r="O34" s="117"/>
      <c r="P34" s="117"/>
      <c r="Q34" s="122" t="s">
        <v>131</v>
      </c>
      <c r="R34" s="120">
        <f>-AVERAGE(O30,Q30)/100</f>
        <v>-0.8</v>
      </c>
      <c r="S34" s="120">
        <f>AVERAGE(O11,Q11)/100</f>
        <v>0.81</v>
      </c>
      <c r="T34" s="118"/>
      <c r="U34" s="122" t="s">
        <v>132</v>
      </c>
      <c r="V34" s="120">
        <f>-AVERAGE(S30,U30)/100</f>
        <v>-0.59499999999999997</v>
      </c>
      <c r="W34" s="120">
        <f>AVERAGE(S11,U11)/100</f>
        <v>0.71499999999999997</v>
      </c>
    </row>
    <row r="36" spans="1:24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</row>
    <row r="37" spans="1:24" ht="15.75" thickBot="1" x14ac:dyDescent="0.3"/>
    <row r="38" spans="1:24" ht="15.75" thickBot="1" x14ac:dyDescent="0.3">
      <c r="A38" s="127" t="s">
        <v>134</v>
      </c>
      <c r="B38" s="125"/>
      <c r="C38" s="125"/>
      <c r="D38" s="125"/>
      <c r="E38" s="125"/>
      <c r="F38" s="125"/>
      <c r="G38" s="125"/>
      <c r="H38" s="125"/>
      <c r="I38" s="126"/>
      <c r="O38" s="127" t="s">
        <v>134</v>
      </c>
      <c r="P38" s="125"/>
      <c r="Q38" s="125"/>
      <c r="R38" s="125"/>
      <c r="S38" s="125"/>
      <c r="T38" s="125"/>
      <c r="U38" s="125"/>
      <c r="V38" s="125"/>
      <c r="W38" s="126"/>
    </row>
    <row r="39" spans="1:24" x14ac:dyDescent="0.25">
      <c r="A39" s="122" t="s">
        <v>127</v>
      </c>
      <c r="B39" s="124">
        <f>launch_dep!B32</f>
        <v>-6.4269651779893189E-2</v>
      </c>
      <c r="C39" s="124">
        <f>launch_dep!C32</f>
        <v>-6.0120842343209802E-3</v>
      </c>
      <c r="D39" s="124">
        <f>launch_dep!D32</f>
        <v>0</v>
      </c>
      <c r="E39" s="124">
        <f>launch_dep!E32</f>
        <v>1.731791207044564E-2</v>
      </c>
      <c r="F39" s="124">
        <f>launch_dep!F32</f>
        <v>0</v>
      </c>
      <c r="G39" s="124">
        <f>launch_dep!G32</f>
        <v>5.5570755178784292E-3</v>
      </c>
      <c r="H39" s="124">
        <f>launch_dep!H32</f>
        <v>0</v>
      </c>
      <c r="I39" s="124">
        <f>launch_dep!I32</f>
        <v>-0.14702377972964853</v>
      </c>
      <c r="O39" s="122" t="s">
        <v>127</v>
      </c>
      <c r="P39" s="122"/>
      <c r="Q39" s="122"/>
      <c r="R39" s="122"/>
      <c r="S39" s="122"/>
      <c r="T39" s="122"/>
      <c r="U39" s="122"/>
      <c r="V39" s="122"/>
      <c r="W39" s="116"/>
    </row>
    <row r="40" spans="1:24" x14ac:dyDescent="0.25">
      <c r="A40" s="122"/>
      <c r="B40" s="122"/>
      <c r="C40" s="122"/>
      <c r="D40" s="122"/>
      <c r="E40" s="122"/>
      <c r="F40" s="122"/>
      <c r="G40" s="122"/>
      <c r="H40" s="122"/>
      <c r="I40" s="122"/>
      <c r="O40" s="122"/>
      <c r="P40" s="122"/>
      <c r="Q40" s="122" t="s">
        <v>131</v>
      </c>
      <c r="R40" s="124">
        <f>launch_dep!R34</f>
        <v>-0.745</v>
      </c>
      <c r="S40" s="124">
        <f>launch_dep!S34</f>
        <v>0.79</v>
      </c>
      <c r="T40" s="122"/>
      <c r="U40" s="122" t="s">
        <v>132</v>
      </c>
      <c r="V40" s="124">
        <f>launch_dep!V34</f>
        <v>-0.51500000000000001</v>
      </c>
      <c r="W40" s="124">
        <f>launch_dep!W34</f>
        <v>0.73</v>
      </c>
    </row>
    <row r="41" spans="1:24" x14ac:dyDescent="0.25">
      <c r="A41" s="122" t="s">
        <v>129</v>
      </c>
      <c r="B41" s="124">
        <f>launch_dep!B34</f>
        <v>5.6209677846676964E-3</v>
      </c>
      <c r="C41" s="122"/>
      <c r="D41" s="122"/>
      <c r="E41" s="122"/>
      <c r="F41" s="122"/>
      <c r="G41" s="122"/>
      <c r="H41" s="122"/>
      <c r="I41" s="122"/>
    </row>
    <row r="44" spans="1:24" x14ac:dyDescent="0.25">
      <c r="A44" s="130" t="s">
        <v>135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28"/>
      <c r="T44" s="128"/>
      <c r="U44" s="128"/>
      <c r="V44" s="128"/>
    </row>
    <row r="45" spans="1:24" x14ac:dyDescent="0.25">
      <c r="A45" s="130"/>
      <c r="B45" s="130" t="s">
        <v>4</v>
      </c>
      <c r="C45" s="130" t="s">
        <v>106</v>
      </c>
      <c r="D45" s="130" t="s">
        <v>147</v>
      </c>
      <c r="E45" s="130" t="s">
        <v>137</v>
      </c>
      <c r="F45" s="130" t="s">
        <v>147</v>
      </c>
      <c r="G45" s="130" t="s">
        <v>138</v>
      </c>
      <c r="H45" s="130" t="s">
        <v>147</v>
      </c>
      <c r="I45" s="130" t="s">
        <v>139</v>
      </c>
      <c r="J45" s="130"/>
      <c r="K45" s="130"/>
      <c r="L45" s="130"/>
      <c r="M45" s="130"/>
      <c r="N45" s="130"/>
      <c r="O45" s="130" t="s">
        <v>91</v>
      </c>
      <c r="P45" s="130" t="s">
        <v>29</v>
      </c>
      <c r="Q45" s="130"/>
      <c r="R45" s="130" t="s">
        <v>140</v>
      </c>
      <c r="S45" s="130" t="s">
        <v>29</v>
      </c>
      <c r="T45" s="128"/>
      <c r="U45" s="128"/>
      <c r="V45" s="128"/>
    </row>
    <row r="46" spans="1:24" x14ac:dyDescent="0.25">
      <c r="A46" s="130" t="s">
        <v>136</v>
      </c>
      <c r="B46" s="132">
        <f>AVERAGE(B39,B32)</f>
        <v>-5.0050312060966995E-2</v>
      </c>
      <c r="C46" s="132">
        <f>AVERAGE(C39,C32)</f>
        <v>1.8658893268273524E-2</v>
      </c>
      <c r="D46" s="131">
        <v>0.02</v>
      </c>
      <c r="E46" s="132">
        <f t="shared" ref="E46:I46" si="3">AVERAGE(E39,E32)</f>
        <v>3.4093096741788731E-2</v>
      </c>
      <c r="F46" s="131">
        <v>0.03</v>
      </c>
      <c r="G46" s="132">
        <f t="shared" si="3"/>
        <v>7.9635850745345405E-3</v>
      </c>
      <c r="H46" s="131">
        <v>0.01</v>
      </c>
      <c r="I46" s="132">
        <f t="shared" si="3"/>
        <v>-0.14223500758189539</v>
      </c>
      <c r="J46" s="130"/>
      <c r="K46" s="130"/>
      <c r="L46" s="130"/>
      <c r="M46" s="130"/>
      <c r="N46" s="130"/>
      <c r="O46" s="132">
        <f>AVERAGE(R34,R40)</f>
        <v>-0.77249999999999996</v>
      </c>
      <c r="P46" s="130"/>
      <c r="Q46" s="130"/>
      <c r="R46" s="132">
        <f>AVERAGE(V34,V40)</f>
        <v>-0.55499999999999994</v>
      </c>
      <c r="S46" s="128"/>
      <c r="T46" s="128"/>
      <c r="U46" s="128"/>
      <c r="V46" s="128"/>
    </row>
    <row r="47" spans="1:24" x14ac:dyDescent="0.25">
      <c r="A47" s="130" t="s">
        <v>141</v>
      </c>
      <c r="B47" s="132">
        <f>AVERAGE(B34,B41)</f>
        <v>2.0238525028198933E-2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 t="s">
        <v>144</v>
      </c>
      <c r="M47" s="130"/>
      <c r="N47" s="130"/>
      <c r="O47" s="132">
        <f>AVERAGE(S34,S40)</f>
        <v>0.8</v>
      </c>
      <c r="P47" s="130">
        <v>3</v>
      </c>
      <c r="Q47" s="130"/>
      <c r="R47" s="132">
        <f>(W34+W40)/2</f>
        <v>0.72249999999999992</v>
      </c>
      <c r="S47" s="130">
        <v>4</v>
      </c>
      <c r="T47" s="128"/>
      <c r="U47" s="128"/>
      <c r="V47" s="128"/>
    </row>
    <row r="48" spans="1:24" x14ac:dyDescent="0.25">
      <c r="C48" s="128"/>
      <c r="D48" s="128"/>
      <c r="E48" s="128"/>
      <c r="F48" s="128"/>
      <c r="G48" s="128"/>
      <c r="H48" s="128"/>
      <c r="I48" s="128"/>
      <c r="J48" s="128"/>
      <c r="K48" s="128"/>
      <c r="L48" s="130" t="s">
        <v>145</v>
      </c>
      <c r="M48" s="128"/>
      <c r="N48" s="128"/>
      <c r="O48" s="132">
        <f>O47+O46</f>
        <v>2.750000000000008E-2</v>
      </c>
      <c r="P48" s="130">
        <v>2</v>
      </c>
      <c r="Q48" s="130"/>
      <c r="R48" s="132">
        <f>R47+R46</f>
        <v>0.16749999999999998</v>
      </c>
      <c r="S48" s="128">
        <v>4</v>
      </c>
      <c r="T48" s="128"/>
      <c r="U48" s="128"/>
      <c r="V48" s="128"/>
    </row>
    <row r="50" spans="1:19" x14ac:dyDescent="0.25">
      <c r="C50" t="s">
        <v>147</v>
      </c>
      <c r="O50" s="2" t="s">
        <v>147</v>
      </c>
      <c r="P50" s="2" t="s">
        <v>147</v>
      </c>
      <c r="Q50" s="2" t="s">
        <v>147</v>
      </c>
      <c r="R50" s="2" t="s">
        <v>147</v>
      </c>
      <c r="S50" s="2" t="s">
        <v>147</v>
      </c>
    </row>
    <row r="51" spans="1:19" x14ac:dyDescent="0.25">
      <c r="A51" s="130" t="s">
        <v>148</v>
      </c>
      <c r="B51" s="128">
        <f>(B11+launch_dep!B11 )/2</f>
        <v>1257.4000000000001</v>
      </c>
      <c r="C51">
        <v>1257.4000000000001</v>
      </c>
      <c r="L51" t="s">
        <v>144</v>
      </c>
      <c r="O51">
        <v>0.8</v>
      </c>
      <c r="P51">
        <v>3</v>
      </c>
      <c r="R51">
        <v>0.72249999999999992</v>
      </c>
      <c r="S51">
        <v>4</v>
      </c>
    </row>
    <row r="52" spans="1:19" x14ac:dyDescent="0.25">
      <c r="L52" t="s">
        <v>145</v>
      </c>
      <c r="O52">
        <v>2.750000000000008E-2</v>
      </c>
      <c r="P52">
        <v>2</v>
      </c>
      <c r="R52">
        <v>0.16749999999999998</v>
      </c>
      <c r="S52">
        <v>4</v>
      </c>
    </row>
    <row r="62" spans="1:19" x14ac:dyDescent="0.25">
      <c r="A62" t="s">
        <v>143</v>
      </c>
    </row>
    <row r="65" spans="1:23" x14ac:dyDescent="0.25">
      <c r="A65" s="5" t="s">
        <v>2</v>
      </c>
      <c r="B65" s="2" t="s">
        <v>4</v>
      </c>
      <c r="C65" s="102" t="s">
        <v>106</v>
      </c>
      <c r="D65" s="102" t="s">
        <v>107</v>
      </c>
      <c r="E65" s="102" t="s">
        <v>108</v>
      </c>
      <c r="F65" s="102" t="s">
        <v>109</v>
      </c>
      <c r="G65" s="102" t="s">
        <v>110</v>
      </c>
      <c r="H65" s="102" t="s">
        <v>111</v>
      </c>
      <c r="I65" s="102" t="s">
        <v>120</v>
      </c>
      <c r="J65" s="102" t="s">
        <v>121</v>
      </c>
      <c r="K65" s="102" t="s">
        <v>113</v>
      </c>
      <c r="L65" s="102" t="s">
        <v>112</v>
      </c>
      <c r="M65" s="102" t="s">
        <v>114</v>
      </c>
      <c r="N65" s="102" t="s">
        <v>115</v>
      </c>
      <c r="O65" s="102" t="s">
        <v>116</v>
      </c>
      <c r="P65" s="102" t="s">
        <v>29</v>
      </c>
      <c r="Q65" s="102" t="s">
        <v>117</v>
      </c>
      <c r="R65" s="102" t="s">
        <v>29</v>
      </c>
      <c r="S65" s="102" t="s">
        <v>90</v>
      </c>
      <c r="T65" s="102" t="s">
        <v>29</v>
      </c>
      <c r="U65" s="102" t="s">
        <v>118</v>
      </c>
      <c r="V65" s="102" t="s">
        <v>29</v>
      </c>
      <c r="W65" s="102" t="s">
        <v>119</v>
      </c>
    </row>
    <row r="66" spans="1:23" x14ac:dyDescent="0.25">
      <c r="A66" s="101">
        <v>2.7777777777777779E-3</v>
      </c>
      <c r="B66">
        <v>1183</v>
      </c>
      <c r="C66">
        <v>158</v>
      </c>
      <c r="D66">
        <v>184</v>
      </c>
      <c r="E66">
        <v>153</v>
      </c>
      <c r="F66">
        <v>184.5</v>
      </c>
      <c r="G66">
        <v>151.5</v>
      </c>
      <c r="H66">
        <v>192.5</v>
      </c>
      <c r="I66">
        <v>143</v>
      </c>
      <c r="J66">
        <v>195</v>
      </c>
      <c r="K66">
        <v>280</v>
      </c>
      <c r="L66">
        <v>287</v>
      </c>
      <c r="M66">
        <v>287</v>
      </c>
      <c r="N66">
        <v>259</v>
      </c>
      <c r="O66">
        <v>10</v>
      </c>
      <c r="P66">
        <v>2</v>
      </c>
      <c r="Q66">
        <v>0</v>
      </c>
      <c r="R66">
        <v>2</v>
      </c>
      <c r="S66">
        <v>5</v>
      </c>
      <c r="T66">
        <v>4</v>
      </c>
      <c r="U66">
        <v>25</v>
      </c>
      <c r="V66">
        <v>4</v>
      </c>
      <c r="W66" t="s">
        <v>123</v>
      </c>
    </row>
    <row r="67" spans="1:23" x14ac:dyDescent="0.25">
      <c r="A67" s="101">
        <v>3.472222222222222E-3</v>
      </c>
      <c r="B67">
        <v>1180</v>
      </c>
      <c r="C67">
        <v>160</v>
      </c>
      <c r="D67">
        <v>185</v>
      </c>
      <c r="E67">
        <v>154</v>
      </c>
      <c r="F67">
        <v>183</v>
      </c>
      <c r="G67">
        <v>151</v>
      </c>
      <c r="H67">
        <v>193</v>
      </c>
      <c r="I67">
        <v>142</v>
      </c>
      <c r="J67">
        <v>194</v>
      </c>
      <c r="K67">
        <v>280</v>
      </c>
      <c r="L67">
        <v>285</v>
      </c>
      <c r="M67">
        <v>288</v>
      </c>
      <c r="N67">
        <v>256</v>
      </c>
      <c r="O67">
        <v>5</v>
      </c>
      <c r="P67">
        <v>2</v>
      </c>
      <c r="Q67">
        <v>95</v>
      </c>
      <c r="R67">
        <v>3</v>
      </c>
      <c r="S67">
        <v>15</v>
      </c>
      <c r="T67">
        <v>4</v>
      </c>
      <c r="U67">
        <v>25</v>
      </c>
      <c r="V67">
        <v>4</v>
      </c>
      <c r="W67" t="s">
        <v>123</v>
      </c>
    </row>
    <row r="68" spans="1:23" x14ac:dyDescent="0.25">
      <c r="A68" s="101">
        <v>5.2777777777777778E-2</v>
      </c>
      <c r="B68">
        <v>1210</v>
      </c>
      <c r="C68">
        <v>160</v>
      </c>
      <c r="D68">
        <v>185</v>
      </c>
      <c r="E68">
        <v>157</v>
      </c>
      <c r="F68">
        <v>185</v>
      </c>
      <c r="G68">
        <v>154</v>
      </c>
      <c r="H68">
        <v>192</v>
      </c>
      <c r="I68">
        <v>146</v>
      </c>
      <c r="J68">
        <v>200</v>
      </c>
      <c r="K68">
        <v>286</v>
      </c>
      <c r="L68">
        <v>292</v>
      </c>
      <c r="M68">
        <v>294</v>
      </c>
      <c r="N68">
        <v>260</v>
      </c>
      <c r="O68">
        <v>10</v>
      </c>
      <c r="P68">
        <v>2</v>
      </c>
      <c r="Q68">
        <v>85</v>
      </c>
      <c r="R68">
        <v>3</v>
      </c>
      <c r="S68">
        <v>5</v>
      </c>
      <c r="T68">
        <v>4</v>
      </c>
      <c r="U68">
        <v>5</v>
      </c>
      <c r="V68">
        <v>4</v>
      </c>
      <c r="W68" t="s">
        <v>123</v>
      </c>
    </row>
    <row r="69" spans="1:23" x14ac:dyDescent="0.25">
      <c r="A69" s="101">
        <v>5.6944444444444443E-2</v>
      </c>
      <c r="B69">
        <v>1198</v>
      </c>
      <c r="C69">
        <v>159</v>
      </c>
      <c r="D69">
        <v>186</v>
      </c>
      <c r="E69">
        <v>153</v>
      </c>
      <c r="F69">
        <v>187</v>
      </c>
      <c r="G69">
        <v>153</v>
      </c>
      <c r="H69">
        <v>191</v>
      </c>
      <c r="I69">
        <v>146</v>
      </c>
      <c r="J69">
        <v>195</v>
      </c>
      <c r="K69">
        <v>283</v>
      </c>
      <c r="L69">
        <v>287</v>
      </c>
      <c r="M69">
        <v>280</v>
      </c>
      <c r="N69">
        <v>272</v>
      </c>
      <c r="O69">
        <v>5</v>
      </c>
      <c r="P69">
        <v>2</v>
      </c>
      <c r="Q69">
        <v>0</v>
      </c>
      <c r="R69">
        <v>2</v>
      </c>
      <c r="S69">
        <v>15</v>
      </c>
      <c r="T69">
        <v>4</v>
      </c>
      <c r="U69">
        <v>10</v>
      </c>
      <c r="V69">
        <v>4</v>
      </c>
      <c r="W69" t="s">
        <v>123</v>
      </c>
    </row>
    <row r="70" spans="1:23" x14ac:dyDescent="0.25">
      <c r="A70" s="101">
        <v>5.7638888888888885E-2</v>
      </c>
      <c r="B70">
        <v>1204</v>
      </c>
      <c r="C70">
        <v>161</v>
      </c>
      <c r="D70">
        <v>185</v>
      </c>
      <c r="E70">
        <v>156</v>
      </c>
      <c r="F70">
        <v>183.5</v>
      </c>
      <c r="G70">
        <v>156</v>
      </c>
      <c r="H70">
        <v>191</v>
      </c>
      <c r="I70">
        <v>145</v>
      </c>
      <c r="J70">
        <v>198</v>
      </c>
      <c r="K70">
        <v>280</v>
      </c>
      <c r="L70">
        <v>290</v>
      </c>
      <c r="M70">
        <v>290</v>
      </c>
      <c r="N70">
        <v>258</v>
      </c>
      <c r="O70">
        <v>0</v>
      </c>
      <c r="P70">
        <v>2</v>
      </c>
      <c r="Q70">
        <v>0</v>
      </c>
      <c r="R70">
        <v>2</v>
      </c>
      <c r="S70">
        <v>10</v>
      </c>
      <c r="T70">
        <v>4</v>
      </c>
      <c r="U70">
        <v>5</v>
      </c>
      <c r="V70">
        <v>4</v>
      </c>
      <c r="W70" t="s">
        <v>123</v>
      </c>
    </row>
    <row r="72" spans="1:23" x14ac:dyDescent="0.25">
      <c r="A72" s="5" t="s">
        <v>104</v>
      </c>
      <c r="B72" s="2">
        <f>AVERAGE(B66:B70)</f>
        <v>1195</v>
      </c>
      <c r="C72" s="2">
        <f t="shared" ref="C72:V72" si="4">AVERAGE(C66:C70)</f>
        <v>159.6</v>
      </c>
      <c r="D72" s="2">
        <f t="shared" si="4"/>
        <v>185</v>
      </c>
      <c r="E72" s="2">
        <f t="shared" si="4"/>
        <v>154.6</v>
      </c>
      <c r="F72" s="2">
        <f t="shared" si="4"/>
        <v>184.6</v>
      </c>
      <c r="G72" s="2">
        <f t="shared" si="4"/>
        <v>153.1</v>
      </c>
      <c r="H72" s="2">
        <f t="shared" si="4"/>
        <v>191.9</v>
      </c>
      <c r="I72" s="2">
        <f t="shared" si="4"/>
        <v>144.4</v>
      </c>
      <c r="J72" s="2">
        <f t="shared" si="4"/>
        <v>196.4</v>
      </c>
      <c r="K72" s="2">
        <f t="shared" si="4"/>
        <v>281.8</v>
      </c>
      <c r="L72" s="2">
        <f t="shared" si="4"/>
        <v>288.2</v>
      </c>
      <c r="M72" s="2">
        <f t="shared" si="4"/>
        <v>287.8</v>
      </c>
      <c r="N72" s="2">
        <f t="shared" si="4"/>
        <v>261</v>
      </c>
      <c r="O72" s="2">
        <f t="shared" si="4"/>
        <v>6</v>
      </c>
      <c r="P72" s="2">
        <f t="shared" si="4"/>
        <v>2</v>
      </c>
      <c r="Q72" s="2">
        <f t="shared" si="4"/>
        <v>36</v>
      </c>
      <c r="R72" s="2">
        <f t="shared" si="4"/>
        <v>2.4</v>
      </c>
      <c r="S72" s="2">
        <f t="shared" si="4"/>
        <v>10</v>
      </c>
      <c r="T72" s="2">
        <f t="shared" si="4"/>
        <v>4</v>
      </c>
      <c r="U72" s="2">
        <f t="shared" si="4"/>
        <v>14</v>
      </c>
      <c r="V72" s="2">
        <f t="shared" si="4"/>
        <v>4</v>
      </c>
      <c r="W72" s="102"/>
    </row>
    <row r="73" spans="1:23" x14ac:dyDescent="0.25">
      <c r="A73" s="101"/>
    </row>
    <row r="74" spans="1:23" x14ac:dyDescent="0.25">
      <c r="A74" s="101" t="s">
        <v>101</v>
      </c>
    </row>
    <row r="75" spans="1:23" x14ac:dyDescent="0.25">
      <c r="A75" s="101" t="s">
        <v>104</v>
      </c>
      <c r="B75">
        <f>kcu_pow!B57</f>
        <v>0</v>
      </c>
      <c r="C75">
        <f>kcu_pow!C57</f>
        <v>0</v>
      </c>
      <c r="D75">
        <f>kcu_pow!D57</f>
        <v>0</v>
      </c>
      <c r="E75">
        <f>kcu_pow!E57</f>
        <v>0</v>
      </c>
      <c r="F75">
        <f>kcu_pow!F57</f>
        <v>0</v>
      </c>
      <c r="G75">
        <f>kcu_pow!G57</f>
        <v>0</v>
      </c>
      <c r="H75">
        <f>kcu_pow!H57</f>
        <v>0</v>
      </c>
      <c r="I75">
        <f>kcu_pow!I57</f>
        <v>0</v>
      </c>
      <c r="J75">
        <f>kcu_pow!J57</f>
        <v>0</v>
      </c>
      <c r="K75">
        <f>kcu_pow!K57</f>
        <v>0</v>
      </c>
      <c r="L75">
        <f>kcu_pow!L57</f>
        <v>0</v>
      </c>
      <c r="M75">
        <f>kcu_pow!M57</f>
        <v>0</v>
      </c>
      <c r="N75">
        <f>kcu_pow!N57</f>
        <v>0</v>
      </c>
      <c r="O75">
        <f>kcu_pow!O57</f>
        <v>0</v>
      </c>
      <c r="P75">
        <f>kcu_pow!P57</f>
        <v>0</v>
      </c>
      <c r="Q75">
        <f>kcu_pow!Q57</f>
        <v>0</v>
      </c>
      <c r="R75">
        <f>kcu_pow!R57</f>
        <v>0</v>
      </c>
      <c r="S75">
        <f>kcu_pow!S57</f>
        <v>0</v>
      </c>
      <c r="T75">
        <f>kcu_pow!T57</f>
        <v>0</v>
      </c>
      <c r="U75">
        <f>kcu_pow!U57</f>
        <v>0</v>
      </c>
      <c r="V75">
        <f>kcu_pow!V57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38D-1BDE-41D4-9659-62CAD6DFF392}">
  <dimension ref="A1:W8"/>
  <sheetViews>
    <sheetView zoomScale="145" zoomScaleNormal="145" workbookViewId="0">
      <selection activeCell="S12" sqref="S12"/>
    </sheetView>
  </sheetViews>
  <sheetFormatPr defaultRowHeight="15" x14ac:dyDescent="0.25"/>
  <cols>
    <col min="1" max="1" width="13.5703125" customWidth="1"/>
    <col min="15" max="15" width="10.28515625" customWidth="1"/>
    <col min="17" max="17" width="10.5703125" customWidth="1"/>
  </cols>
  <sheetData>
    <row r="1" spans="1:23" x14ac:dyDescent="0.25">
      <c r="A1" s="5" t="s">
        <v>3</v>
      </c>
      <c r="B1" s="2" t="s">
        <v>4</v>
      </c>
      <c r="C1" s="102" t="s">
        <v>106</v>
      </c>
      <c r="D1" s="102" t="s">
        <v>107</v>
      </c>
      <c r="E1" s="102" t="s">
        <v>108</v>
      </c>
      <c r="F1" s="102" t="s">
        <v>109</v>
      </c>
      <c r="G1" s="102" t="s">
        <v>110</v>
      </c>
      <c r="H1" s="102" t="s">
        <v>111</v>
      </c>
      <c r="I1" s="102" t="s">
        <v>120</v>
      </c>
      <c r="J1" s="102" t="s">
        <v>121</v>
      </c>
      <c r="K1" s="102" t="s">
        <v>113</v>
      </c>
      <c r="L1" s="102" t="s">
        <v>112</v>
      </c>
      <c r="M1" s="102" t="s">
        <v>114</v>
      </c>
      <c r="N1" s="102" t="s">
        <v>115</v>
      </c>
      <c r="O1" s="102" t="s">
        <v>116</v>
      </c>
      <c r="P1" s="102" t="s">
        <v>29</v>
      </c>
      <c r="Q1" s="102" t="s">
        <v>117</v>
      </c>
      <c r="R1" s="102" t="s">
        <v>29</v>
      </c>
      <c r="S1" s="102" t="s">
        <v>90</v>
      </c>
      <c r="T1" s="102" t="s">
        <v>29</v>
      </c>
      <c r="U1" s="102" t="s">
        <v>118</v>
      </c>
      <c r="V1" s="102" t="s">
        <v>29</v>
      </c>
      <c r="W1" s="102" t="s">
        <v>119</v>
      </c>
    </row>
    <row r="2" spans="1:23" x14ac:dyDescent="0.25">
      <c r="A2" s="101">
        <v>7.9166666666666663E-2</v>
      </c>
      <c r="B2">
        <v>1270</v>
      </c>
      <c r="C2">
        <v>163</v>
      </c>
      <c r="D2">
        <v>184</v>
      </c>
      <c r="E2">
        <v>152.5</v>
      </c>
      <c r="F2">
        <v>176</v>
      </c>
      <c r="G2">
        <v>153</v>
      </c>
      <c r="H2">
        <v>184</v>
      </c>
      <c r="I2">
        <v>167</v>
      </c>
      <c r="J2">
        <v>188</v>
      </c>
      <c r="K2">
        <v>298</v>
      </c>
      <c r="L2">
        <v>297</v>
      </c>
      <c r="M2">
        <v>285</v>
      </c>
      <c r="N2">
        <v>249</v>
      </c>
      <c r="O2">
        <v>80</v>
      </c>
      <c r="P2">
        <v>2</v>
      </c>
      <c r="Q2">
        <v>80</v>
      </c>
      <c r="R2">
        <v>2</v>
      </c>
      <c r="S2">
        <v>75</v>
      </c>
      <c r="T2">
        <v>4</v>
      </c>
      <c r="U2">
        <v>95</v>
      </c>
      <c r="V2">
        <v>4</v>
      </c>
      <c r="W2" t="s">
        <v>124</v>
      </c>
    </row>
    <row r="3" spans="1:23" x14ac:dyDescent="0.25">
      <c r="A3" s="3">
        <v>7.9861111111111105E-2</v>
      </c>
      <c r="B3">
        <v>1278</v>
      </c>
      <c r="C3">
        <v>163</v>
      </c>
      <c r="D3">
        <v>183</v>
      </c>
      <c r="E3">
        <v>152.5</v>
      </c>
      <c r="F3">
        <v>178</v>
      </c>
      <c r="G3">
        <v>154</v>
      </c>
      <c r="H3">
        <v>187.5</v>
      </c>
      <c r="I3">
        <v>169</v>
      </c>
      <c r="J3">
        <v>188</v>
      </c>
      <c r="K3">
        <v>297.5</v>
      </c>
      <c r="L3">
        <v>298</v>
      </c>
      <c r="M3">
        <v>287</v>
      </c>
      <c r="N3">
        <v>249</v>
      </c>
      <c r="O3">
        <v>75</v>
      </c>
      <c r="P3">
        <v>2</v>
      </c>
      <c r="Q3">
        <v>80</v>
      </c>
      <c r="R3">
        <v>2</v>
      </c>
      <c r="S3">
        <v>65</v>
      </c>
      <c r="T3">
        <v>4</v>
      </c>
      <c r="U3">
        <v>85</v>
      </c>
      <c r="V3">
        <v>4</v>
      </c>
      <c r="W3" t="s">
        <v>124</v>
      </c>
    </row>
    <row r="4" spans="1:23" x14ac:dyDescent="0.25">
      <c r="A4" s="3">
        <v>8.6805555555555566E-2</v>
      </c>
      <c r="B4">
        <v>1254</v>
      </c>
      <c r="C4">
        <v>165</v>
      </c>
      <c r="D4">
        <v>181</v>
      </c>
      <c r="E4">
        <v>153</v>
      </c>
      <c r="F4">
        <v>181.5</v>
      </c>
      <c r="G4">
        <v>151.5</v>
      </c>
      <c r="H4">
        <v>185</v>
      </c>
      <c r="I4">
        <v>163</v>
      </c>
      <c r="J4">
        <v>187</v>
      </c>
      <c r="K4">
        <v>293</v>
      </c>
      <c r="L4">
        <v>291</v>
      </c>
      <c r="M4">
        <v>284</v>
      </c>
      <c r="N4">
        <v>247</v>
      </c>
      <c r="O4">
        <v>65</v>
      </c>
      <c r="P4">
        <v>2</v>
      </c>
      <c r="Q4">
        <v>80</v>
      </c>
      <c r="R4">
        <v>2</v>
      </c>
      <c r="S4">
        <v>70</v>
      </c>
      <c r="T4">
        <v>4</v>
      </c>
      <c r="U4">
        <v>60</v>
      </c>
      <c r="V4">
        <v>4</v>
      </c>
      <c r="W4" t="s">
        <v>124</v>
      </c>
    </row>
    <row r="5" spans="1:23" x14ac:dyDescent="0.25">
      <c r="A5" s="3">
        <v>9.2361111111111116E-2</v>
      </c>
      <c r="B5">
        <v>1244</v>
      </c>
      <c r="C5">
        <v>165</v>
      </c>
      <c r="D5">
        <v>183</v>
      </c>
      <c r="E5">
        <v>151</v>
      </c>
      <c r="F5">
        <v>180</v>
      </c>
      <c r="G5">
        <v>150</v>
      </c>
      <c r="H5">
        <v>187</v>
      </c>
      <c r="I5">
        <v>158</v>
      </c>
      <c r="J5">
        <v>194</v>
      </c>
      <c r="K5">
        <v>292</v>
      </c>
      <c r="L5">
        <v>292</v>
      </c>
      <c r="M5">
        <v>286</v>
      </c>
      <c r="N5">
        <v>247</v>
      </c>
      <c r="O5">
        <v>85</v>
      </c>
      <c r="P5">
        <v>2</v>
      </c>
      <c r="Q5">
        <v>80</v>
      </c>
      <c r="R5">
        <v>2</v>
      </c>
      <c r="S5">
        <v>65</v>
      </c>
      <c r="T5">
        <v>4</v>
      </c>
      <c r="U5">
        <v>80</v>
      </c>
      <c r="V5">
        <v>4</v>
      </c>
    </row>
    <row r="6" spans="1:23" x14ac:dyDescent="0.25">
      <c r="A6" s="3">
        <v>9.3055555555555558E-2</v>
      </c>
      <c r="B6">
        <v>1257</v>
      </c>
      <c r="C6">
        <v>166</v>
      </c>
      <c r="D6">
        <v>182</v>
      </c>
      <c r="E6">
        <v>156</v>
      </c>
      <c r="F6">
        <v>181</v>
      </c>
      <c r="G6">
        <v>152</v>
      </c>
      <c r="H6">
        <v>188.5</v>
      </c>
      <c r="I6">
        <v>168</v>
      </c>
      <c r="J6">
        <v>195</v>
      </c>
      <c r="K6">
        <v>290</v>
      </c>
      <c r="L6">
        <v>296</v>
      </c>
      <c r="M6">
        <v>289</v>
      </c>
      <c r="N6">
        <v>249</v>
      </c>
      <c r="O6">
        <v>90</v>
      </c>
      <c r="P6">
        <v>2</v>
      </c>
      <c r="Q6">
        <v>75</v>
      </c>
      <c r="R6">
        <v>2</v>
      </c>
      <c r="S6">
        <v>55</v>
      </c>
      <c r="T6">
        <v>4</v>
      </c>
      <c r="U6">
        <v>80</v>
      </c>
      <c r="V6">
        <v>4</v>
      </c>
      <c r="W6" t="s">
        <v>124</v>
      </c>
    </row>
    <row r="8" spans="1:23" x14ac:dyDescent="0.25">
      <c r="A8" s="5" t="s">
        <v>104</v>
      </c>
      <c r="B8" s="2">
        <f>AVERAGE(B2:B6)</f>
        <v>1260.5999999999999</v>
      </c>
      <c r="C8" s="2">
        <f t="shared" ref="C8:V8" si="0">AVERAGE(C2:C6)</f>
        <v>164.4</v>
      </c>
      <c r="D8" s="2">
        <f t="shared" si="0"/>
        <v>182.6</v>
      </c>
      <c r="E8" s="2">
        <f t="shared" si="0"/>
        <v>153</v>
      </c>
      <c r="F8" s="2">
        <f t="shared" si="0"/>
        <v>179.3</v>
      </c>
      <c r="G8" s="2">
        <f t="shared" si="0"/>
        <v>152.1</v>
      </c>
      <c r="H8" s="2">
        <f t="shared" si="0"/>
        <v>186.4</v>
      </c>
      <c r="I8" s="2">
        <f t="shared" si="0"/>
        <v>165</v>
      </c>
      <c r="J8" s="2">
        <f t="shared" si="0"/>
        <v>190.4</v>
      </c>
      <c r="K8" s="2">
        <f t="shared" si="0"/>
        <v>294.10000000000002</v>
      </c>
      <c r="L8" s="2">
        <f t="shared" si="0"/>
        <v>294.8</v>
      </c>
      <c r="M8" s="2">
        <f t="shared" si="0"/>
        <v>286.2</v>
      </c>
      <c r="N8" s="2">
        <f t="shared" si="0"/>
        <v>248.2</v>
      </c>
      <c r="O8" s="2">
        <f t="shared" si="0"/>
        <v>79</v>
      </c>
      <c r="P8" s="2">
        <f t="shared" si="0"/>
        <v>2</v>
      </c>
      <c r="Q8" s="2">
        <f t="shared" si="0"/>
        <v>79</v>
      </c>
      <c r="R8" s="2">
        <f t="shared" si="0"/>
        <v>2</v>
      </c>
      <c r="S8" s="2">
        <f t="shared" si="0"/>
        <v>66</v>
      </c>
      <c r="T8" s="2">
        <f t="shared" si="0"/>
        <v>4</v>
      </c>
      <c r="U8" s="2">
        <f t="shared" si="0"/>
        <v>80</v>
      </c>
      <c r="V8" s="2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AA7A-E712-4EBC-8BAB-7AE4B5090720}">
  <dimension ref="A1:W51"/>
  <sheetViews>
    <sheetView zoomScale="130" zoomScaleNormal="130" workbookViewId="0">
      <selection activeCell="E24" sqref="E24"/>
    </sheetView>
  </sheetViews>
  <sheetFormatPr defaultRowHeight="15" x14ac:dyDescent="0.25"/>
  <cols>
    <col min="1" max="1" width="30.5703125" customWidth="1"/>
    <col min="2" max="2" width="9.42578125" bestFit="1" customWidth="1"/>
    <col min="4" max="4" width="9.140625" style="104"/>
    <col min="6" max="6" width="9.140625" style="104"/>
    <col min="8" max="8" width="9.140625" style="107"/>
    <col min="10" max="10" width="9.140625" style="107"/>
    <col min="15" max="15" width="15.85546875" customWidth="1"/>
    <col min="17" max="17" width="12.7109375" customWidth="1"/>
    <col min="21" max="21" width="9.140625" customWidth="1"/>
  </cols>
  <sheetData>
    <row r="1" spans="1:23" s="1" customFormat="1" x14ac:dyDescent="0.25">
      <c r="A1" s="5" t="s">
        <v>2</v>
      </c>
      <c r="B1" s="5" t="s">
        <v>4</v>
      </c>
      <c r="C1" s="1" t="s">
        <v>106</v>
      </c>
      <c r="D1" s="106" t="s">
        <v>107</v>
      </c>
      <c r="E1" s="1" t="s">
        <v>108</v>
      </c>
      <c r="F1" s="106" t="s">
        <v>109</v>
      </c>
      <c r="G1" s="1" t="s">
        <v>110</v>
      </c>
      <c r="H1" s="106" t="s">
        <v>111</v>
      </c>
      <c r="I1" s="1" t="s">
        <v>120</v>
      </c>
      <c r="J1" s="106" t="s">
        <v>121</v>
      </c>
      <c r="K1" s="1" t="s">
        <v>113</v>
      </c>
      <c r="L1" s="1" t="s">
        <v>112</v>
      </c>
      <c r="M1" s="1" t="s">
        <v>114</v>
      </c>
      <c r="N1" s="1" t="s">
        <v>115</v>
      </c>
      <c r="O1" s="108" t="s">
        <v>116</v>
      </c>
      <c r="P1" s="108" t="s">
        <v>29</v>
      </c>
      <c r="Q1" s="108" t="s">
        <v>117</v>
      </c>
      <c r="R1" s="108" t="s">
        <v>29</v>
      </c>
      <c r="S1" s="108" t="s">
        <v>90</v>
      </c>
      <c r="T1" s="108" t="s">
        <v>29</v>
      </c>
      <c r="U1" s="108" t="s">
        <v>118</v>
      </c>
      <c r="V1" s="108" t="s">
        <v>29</v>
      </c>
      <c r="W1" s="1" t="s">
        <v>119</v>
      </c>
    </row>
    <row r="2" spans="1:23" x14ac:dyDescent="0.25">
      <c r="A2" s="101">
        <v>1.4583333333333332E-2</v>
      </c>
      <c r="B2" s="2">
        <v>1186</v>
      </c>
      <c r="C2" s="2">
        <v>159</v>
      </c>
      <c r="D2" s="105">
        <v>182</v>
      </c>
      <c r="E2" s="2">
        <v>155</v>
      </c>
      <c r="F2" s="105">
        <v>185</v>
      </c>
      <c r="G2" s="2">
        <v>155</v>
      </c>
      <c r="H2" s="105">
        <v>188</v>
      </c>
      <c r="I2" s="2">
        <v>151</v>
      </c>
      <c r="J2" s="105">
        <v>193</v>
      </c>
      <c r="K2" s="2">
        <v>292</v>
      </c>
      <c r="L2" s="2">
        <v>297</v>
      </c>
      <c r="M2" s="2">
        <v>292</v>
      </c>
      <c r="N2" s="2">
        <v>255</v>
      </c>
      <c r="O2" s="110">
        <v>0</v>
      </c>
      <c r="P2" s="110">
        <v>2</v>
      </c>
      <c r="Q2" s="110">
        <v>0</v>
      </c>
      <c r="R2" s="110">
        <v>2</v>
      </c>
      <c r="S2" s="110">
        <v>60</v>
      </c>
      <c r="T2" s="110">
        <v>4</v>
      </c>
      <c r="U2" s="110">
        <v>35</v>
      </c>
      <c r="V2" s="110">
        <v>4</v>
      </c>
      <c r="W2" s="2" t="s">
        <v>123</v>
      </c>
    </row>
    <row r="3" spans="1:23" x14ac:dyDescent="0.25">
      <c r="A3" s="101">
        <v>1.5277777777777777E-2</v>
      </c>
      <c r="B3" s="2">
        <v>1205</v>
      </c>
      <c r="C3" s="2">
        <v>163</v>
      </c>
      <c r="D3" s="105">
        <v>184</v>
      </c>
      <c r="E3" s="2">
        <v>156</v>
      </c>
      <c r="F3" s="105">
        <v>186</v>
      </c>
      <c r="G3" s="2">
        <v>154</v>
      </c>
      <c r="H3" s="105">
        <v>190</v>
      </c>
      <c r="I3" s="2">
        <v>152.5</v>
      </c>
      <c r="J3" s="105">
        <v>192</v>
      </c>
      <c r="K3" s="2">
        <v>299</v>
      </c>
      <c r="L3" s="2">
        <v>302</v>
      </c>
      <c r="M3" s="2">
        <v>298</v>
      </c>
      <c r="N3" s="2">
        <v>255</v>
      </c>
      <c r="O3" s="110">
        <v>5</v>
      </c>
      <c r="P3" s="110">
        <v>2</v>
      </c>
      <c r="Q3" s="110">
        <v>-5</v>
      </c>
      <c r="R3" s="110">
        <v>2</v>
      </c>
      <c r="S3" s="110">
        <v>35</v>
      </c>
      <c r="T3" s="110">
        <v>4</v>
      </c>
      <c r="U3" s="110">
        <v>35</v>
      </c>
      <c r="V3" s="110">
        <v>4</v>
      </c>
      <c r="W3" s="2" t="s">
        <v>123</v>
      </c>
    </row>
    <row r="4" spans="1:23" x14ac:dyDescent="0.25">
      <c r="A4" s="101">
        <v>3.0555555555555555E-2</v>
      </c>
      <c r="B4" s="2">
        <v>1169</v>
      </c>
      <c r="C4" s="2">
        <v>160</v>
      </c>
      <c r="D4" s="105">
        <v>185</v>
      </c>
      <c r="E4" s="2">
        <v>152.5</v>
      </c>
      <c r="F4" s="105">
        <v>183</v>
      </c>
      <c r="G4" s="2">
        <v>152.5</v>
      </c>
      <c r="H4" s="105">
        <v>189</v>
      </c>
      <c r="I4" s="2">
        <v>139.5</v>
      </c>
      <c r="J4" s="105">
        <v>192</v>
      </c>
      <c r="K4" s="2">
        <v>283</v>
      </c>
      <c r="L4" s="2">
        <v>291.5</v>
      </c>
      <c r="M4" s="2">
        <v>290</v>
      </c>
      <c r="N4" s="2">
        <v>249</v>
      </c>
      <c r="O4" s="110">
        <v>15</v>
      </c>
      <c r="P4" s="110">
        <v>2</v>
      </c>
      <c r="Q4" s="110">
        <v>0</v>
      </c>
      <c r="R4" s="110">
        <v>2</v>
      </c>
      <c r="S4" s="110">
        <v>35</v>
      </c>
      <c r="T4" s="110">
        <v>4</v>
      </c>
      <c r="U4" s="110">
        <v>15</v>
      </c>
      <c r="V4" s="110">
        <v>4</v>
      </c>
      <c r="W4" s="2" t="s">
        <v>123</v>
      </c>
    </row>
    <row r="5" spans="1:23" x14ac:dyDescent="0.25">
      <c r="A5" s="101">
        <v>3.125E-2</v>
      </c>
      <c r="B5" s="2">
        <v>1169</v>
      </c>
      <c r="C5" s="2">
        <v>158</v>
      </c>
      <c r="D5" s="105">
        <v>186</v>
      </c>
      <c r="E5" s="2">
        <v>152.5</v>
      </c>
      <c r="F5" s="105">
        <v>183</v>
      </c>
      <c r="G5" s="2">
        <v>152</v>
      </c>
      <c r="H5" s="105">
        <v>191.5</v>
      </c>
      <c r="I5" s="2">
        <v>135.5</v>
      </c>
      <c r="J5" s="105">
        <v>194.5</v>
      </c>
      <c r="K5" s="2">
        <v>283</v>
      </c>
      <c r="L5" s="2">
        <v>291</v>
      </c>
      <c r="M5" s="2">
        <v>286</v>
      </c>
      <c r="N5" s="2">
        <v>252</v>
      </c>
      <c r="O5" s="110">
        <v>20</v>
      </c>
      <c r="P5" s="110">
        <v>2</v>
      </c>
      <c r="Q5" s="110">
        <v>-5</v>
      </c>
      <c r="R5" s="110">
        <v>2</v>
      </c>
      <c r="S5" s="110">
        <v>0</v>
      </c>
      <c r="T5" s="110">
        <v>4</v>
      </c>
      <c r="U5" s="110">
        <v>0</v>
      </c>
      <c r="V5" s="110">
        <v>4</v>
      </c>
      <c r="W5" s="2" t="s">
        <v>123</v>
      </c>
    </row>
    <row r="6" spans="1:23" x14ac:dyDescent="0.25">
      <c r="A6" s="101">
        <v>3.2638888888888891E-2</v>
      </c>
      <c r="B6" s="2">
        <v>1168</v>
      </c>
      <c r="C6" s="2">
        <v>159</v>
      </c>
      <c r="D6" s="105">
        <v>184</v>
      </c>
      <c r="E6" s="2">
        <v>152</v>
      </c>
      <c r="F6" s="105">
        <v>185</v>
      </c>
      <c r="G6" s="2">
        <v>156</v>
      </c>
      <c r="H6" s="105">
        <v>191</v>
      </c>
      <c r="I6" s="2">
        <v>134.5</v>
      </c>
      <c r="J6" s="105">
        <v>194</v>
      </c>
      <c r="K6" s="2">
        <v>281</v>
      </c>
      <c r="L6" s="2">
        <v>286.5</v>
      </c>
      <c r="M6" s="2">
        <v>289</v>
      </c>
      <c r="N6" s="2">
        <v>242</v>
      </c>
      <c r="O6" s="110">
        <v>10</v>
      </c>
      <c r="P6" s="110">
        <v>2</v>
      </c>
      <c r="Q6" s="110">
        <v>5</v>
      </c>
      <c r="R6" s="110">
        <v>2</v>
      </c>
      <c r="S6" s="110">
        <v>0</v>
      </c>
      <c r="T6" s="110">
        <v>4</v>
      </c>
      <c r="U6" s="110">
        <v>0</v>
      </c>
      <c r="V6" s="110">
        <v>4</v>
      </c>
      <c r="W6" s="2" t="s">
        <v>123</v>
      </c>
    </row>
    <row r="7" spans="1:23" x14ac:dyDescent="0.25">
      <c r="B7" s="2"/>
      <c r="C7" s="2"/>
      <c r="D7" s="105"/>
      <c r="E7" s="2"/>
      <c r="F7" s="105"/>
      <c r="G7" s="2"/>
      <c r="H7" s="105"/>
      <c r="I7" s="2"/>
      <c r="J7" s="105"/>
      <c r="K7" s="2"/>
      <c r="L7" s="2"/>
      <c r="M7" s="2"/>
      <c r="N7" s="2"/>
      <c r="O7" s="110"/>
      <c r="P7" s="110"/>
      <c r="Q7" s="110"/>
      <c r="R7" s="110"/>
      <c r="S7" s="110"/>
      <c r="T7" s="110"/>
      <c r="U7" s="110"/>
      <c r="V7" s="110"/>
      <c r="W7" s="2"/>
    </row>
    <row r="8" spans="1:23" x14ac:dyDescent="0.25">
      <c r="A8" s="5" t="s">
        <v>104</v>
      </c>
      <c r="B8" s="2">
        <f>AVERAGE(B2:B6)</f>
        <v>1179.4000000000001</v>
      </c>
      <c r="C8" s="2">
        <f t="shared" ref="C8:V8" si="0">AVERAGE(C2:C6)</f>
        <v>159.80000000000001</v>
      </c>
      <c r="D8" s="105">
        <f t="shared" si="0"/>
        <v>184.2</v>
      </c>
      <c r="E8" s="2">
        <f t="shared" si="0"/>
        <v>153.6</v>
      </c>
      <c r="F8" s="105">
        <f t="shared" si="0"/>
        <v>184.4</v>
      </c>
      <c r="G8" s="2">
        <f t="shared" si="0"/>
        <v>153.9</v>
      </c>
      <c r="H8" s="105">
        <f t="shared" si="0"/>
        <v>189.9</v>
      </c>
      <c r="I8" s="2">
        <f t="shared" si="0"/>
        <v>142.6</v>
      </c>
      <c r="J8" s="105">
        <f t="shared" si="0"/>
        <v>193.1</v>
      </c>
      <c r="K8" s="2">
        <f t="shared" si="0"/>
        <v>287.60000000000002</v>
      </c>
      <c r="L8" s="2">
        <f t="shared" si="0"/>
        <v>293.60000000000002</v>
      </c>
      <c r="M8" s="2">
        <f t="shared" si="0"/>
        <v>291</v>
      </c>
      <c r="N8" s="2">
        <f t="shared" si="0"/>
        <v>250.6</v>
      </c>
      <c r="O8" s="110">
        <f t="shared" si="0"/>
        <v>10</v>
      </c>
      <c r="P8" s="110">
        <f t="shared" si="0"/>
        <v>2</v>
      </c>
      <c r="Q8" s="110">
        <f t="shared" si="0"/>
        <v>-1</v>
      </c>
      <c r="R8" s="110">
        <f t="shared" si="0"/>
        <v>2</v>
      </c>
      <c r="S8" s="110">
        <f t="shared" si="0"/>
        <v>26</v>
      </c>
      <c r="T8" s="110">
        <f t="shared" si="0"/>
        <v>4</v>
      </c>
      <c r="U8" s="110">
        <f t="shared" si="0"/>
        <v>17</v>
      </c>
      <c r="V8" s="110">
        <f t="shared" si="0"/>
        <v>4</v>
      </c>
      <c r="W8" s="2"/>
    </row>
    <row r="9" spans="1:23" x14ac:dyDescent="0.25">
      <c r="A9" s="101"/>
      <c r="B9" s="2"/>
      <c r="C9" s="2"/>
      <c r="D9" s="105"/>
      <c r="E9" s="2"/>
      <c r="F9" s="105"/>
      <c r="G9" s="2"/>
      <c r="H9" s="105"/>
      <c r="I9" s="2"/>
      <c r="J9" s="105"/>
      <c r="K9" s="2"/>
      <c r="L9" s="2"/>
      <c r="M9" s="2"/>
      <c r="N9" s="2"/>
      <c r="O9" s="110"/>
      <c r="P9" s="110"/>
      <c r="Q9" s="110"/>
      <c r="R9" s="110"/>
      <c r="S9" s="110"/>
      <c r="T9" s="110"/>
      <c r="U9" s="110"/>
      <c r="V9" s="110"/>
      <c r="W9" s="2"/>
    </row>
    <row r="10" spans="1:23" x14ac:dyDescent="0.25">
      <c r="A10" s="101" t="s">
        <v>101</v>
      </c>
      <c r="B10" s="2"/>
      <c r="C10" s="2"/>
      <c r="D10" s="105"/>
      <c r="E10" s="2"/>
      <c r="F10" s="105"/>
      <c r="G10" s="2"/>
      <c r="H10" s="105"/>
      <c r="I10" s="2"/>
      <c r="J10" s="105"/>
      <c r="K10" s="2"/>
      <c r="L10" s="2"/>
      <c r="M10" s="2"/>
      <c r="N10" s="2"/>
      <c r="O10" s="110"/>
      <c r="P10" s="110"/>
      <c r="Q10" s="110"/>
      <c r="R10" s="110"/>
      <c r="S10" s="110"/>
      <c r="T10" s="110"/>
      <c r="U10" s="110"/>
      <c r="V10" s="110"/>
      <c r="W10" s="2"/>
    </row>
    <row r="11" spans="1:23" x14ac:dyDescent="0.25">
      <c r="A11" s="101" t="s">
        <v>104</v>
      </c>
      <c r="B11" s="2">
        <f>launch_pow!B8</f>
        <v>1260.5999999999999</v>
      </c>
      <c r="C11" s="2">
        <f>launch_pow!C8</f>
        <v>164.4</v>
      </c>
      <c r="D11" s="105">
        <f>launch_pow!D8</f>
        <v>182.6</v>
      </c>
      <c r="E11" s="2">
        <f>launch_pow!E8</f>
        <v>153</v>
      </c>
      <c r="F11" s="105">
        <f>launch_pow!F8</f>
        <v>179.3</v>
      </c>
      <c r="G11" s="2">
        <f>launch_pow!G8</f>
        <v>152.1</v>
      </c>
      <c r="H11" s="105">
        <f>launch_pow!H8</f>
        <v>186.4</v>
      </c>
      <c r="I11" s="2">
        <f>launch_pow!I8</f>
        <v>165</v>
      </c>
      <c r="J11" s="105">
        <f>launch_pow!J8</f>
        <v>190.4</v>
      </c>
      <c r="K11" s="2">
        <f>launch_pow!K8</f>
        <v>294.10000000000002</v>
      </c>
      <c r="L11" s="2">
        <f>launch_pow!L8</f>
        <v>294.8</v>
      </c>
      <c r="M11" s="2">
        <f>launch_pow!M8</f>
        <v>286.2</v>
      </c>
      <c r="N11" s="2">
        <f>launch_pow!N8</f>
        <v>248.2</v>
      </c>
      <c r="O11" s="110">
        <f>launch_pow!O8</f>
        <v>79</v>
      </c>
      <c r="P11" s="110">
        <f>launch_pow!P8</f>
        <v>2</v>
      </c>
      <c r="Q11" s="110">
        <f>launch_pow!Q8</f>
        <v>79</v>
      </c>
      <c r="R11" s="110">
        <f>launch_pow!R8</f>
        <v>2</v>
      </c>
      <c r="S11" s="110">
        <f>launch_pow!S8</f>
        <v>66</v>
      </c>
      <c r="T11" s="110">
        <f>launch_pow!T8</f>
        <v>4</v>
      </c>
      <c r="U11" s="110">
        <f>launch_pow!U8</f>
        <v>80</v>
      </c>
      <c r="V11" s="110">
        <f>launch_pow!V8</f>
        <v>4</v>
      </c>
      <c r="W11" s="2"/>
    </row>
    <row r="12" spans="1:23" x14ac:dyDescent="0.25">
      <c r="A12" s="101"/>
      <c r="H12" s="104"/>
      <c r="J12" s="104"/>
      <c r="O12" s="109"/>
      <c r="P12" s="109"/>
      <c r="Q12" s="109"/>
      <c r="R12" s="109"/>
      <c r="S12" s="109"/>
      <c r="T12" s="109"/>
      <c r="U12" s="109"/>
      <c r="V12" s="109"/>
    </row>
    <row r="13" spans="1:23" x14ac:dyDescent="0.25">
      <c r="A13" s="101"/>
      <c r="H13" s="104"/>
      <c r="J13" s="104"/>
      <c r="O13" s="109"/>
      <c r="P13" s="109"/>
      <c r="Q13" s="109"/>
      <c r="R13" s="109"/>
      <c r="S13" s="109"/>
      <c r="T13" s="109"/>
      <c r="U13" s="109"/>
      <c r="V13" s="109"/>
    </row>
    <row r="14" spans="1:23" x14ac:dyDescent="0.25">
      <c r="A14" s="111" t="s">
        <v>125</v>
      </c>
      <c r="B14" s="112"/>
      <c r="C14" s="112"/>
      <c r="D14" s="113">
        <f>D11/D8</f>
        <v>0.99131378935939196</v>
      </c>
      <c r="E14" s="112"/>
      <c r="F14" s="113">
        <f t="shared" ref="F14:N14" si="1">F11/F8</f>
        <v>0.97234273318872022</v>
      </c>
      <c r="G14" s="112"/>
      <c r="H14" s="113">
        <f t="shared" si="1"/>
        <v>0.98156924697209058</v>
      </c>
      <c r="I14" s="112"/>
      <c r="J14" s="113">
        <f t="shared" si="1"/>
        <v>0.98601760745727607</v>
      </c>
      <c r="K14" s="112">
        <f t="shared" si="1"/>
        <v>1.0226008344923505</v>
      </c>
      <c r="L14" s="112">
        <f t="shared" si="1"/>
        <v>1.0040871934604905</v>
      </c>
      <c r="M14" s="112">
        <f t="shared" si="1"/>
        <v>0.98350515463917521</v>
      </c>
      <c r="N14" s="112">
        <f t="shared" si="1"/>
        <v>0.99042298483639268</v>
      </c>
      <c r="O14" s="114"/>
      <c r="P14" s="114"/>
      <c r="Q14" s="114"/>
      <c r="R14" s="114"/>
      <c r="S14" s="114"/>
      <c r="T14" s="114"/>
      <c r="U14" s="114"/>
      <c r="V14" s="114"/>
    </row>
    <row r="15" spans="1:23" x14ac:dyDescent="0.25">
      <c r="A15" s="19"/>
      <c r="B15" s="19"/>
      <c r="C15" s="19"/>
      <c r="D15" s="31"/>
      <c r="E15" s="19"/>
      <c r="F15" s="31"/>
      <c r="G15" s="19"/>
      <c r="H15" s="31"/>
      <c r="I15" s="19"/>
      <c r="J15" s="31"/>
      <c r="K15" s="19"/>
      <c r="L15" s="19"/>
      <c r="M15" s="19"/>
      <c r="N15" s="19"/>
      <c r="O15" s="76"/>
      <c r="P15" s="76"/>
      <c r="Q15" s="76"/>
      <c r="R15" s="76"/>
      <c r="S15" s="76"/>
      <c r="T15" s="76"/>
      <c r="U15" s="76"/>
      <c r="V15" s="76"/>
    </row>
    <row r="16" spans="1:23" x14ac:dyDescent="0.25">
      <c r="D16"/>
      <c r="F16"/>
      <c r="H16"/>
      <c r="J16"/>
    </row>
    <row r="17" spans="1:23" x14ac:dyDescent="0.25">
      <c r="A17" s="1" t="s">
        <v>142</v>
      </c>
      <c r="B17" s="4">
        <f>(AVERAGE(K14:N14)-1)*N27</f>
        <v>1.5404185710221618E-4</v>
      </c>
      <c r="C17" s="4">
        <f>(K14-1)*N27</f>
        <v>2.2600834492350508E-2</v>
      </c>
      <c r="D17"/>
      <c r="E17" s="4">
        <f>(AVERAGE(K14:L14)-1)*N27</f>
        <v>1.3344013976420488E-2</v>
      </c>
      <c r="F17"/>
      <c r="G17" s="4">
        <f>(AVERAGE(L14:M14)-1)*N27</f>
        <v>-6.2038259501671078E-3</v>
      </c>
      <c r="H17"/>
      <c r="I17" s="4">
        <f>(AVERAGE(M14:N14)-1)*N27</f>
        <v>-1.3035930262216056E-2</v>
      </c>
      <c r="J17"/>
    </row>
    <row r="18" spans="1:23" x14ac:dyDescent="0.25">
      <c r="D18"/>
      <c r="F18"/>
      <c r="H18"/>
      <c r="J18"/>
    </row>
    <row r="19" spans="1:23" x14ac:dyDescent="0.25">
      <c r="D19"/>
      <c r="F19"/>
      <c r="H19"/>
      <c r="J19"/>
    </row>
    <row r="20" spans="1:23" x14ac:dyDescent="0.25">
      <c r="A20" s="1" t="s">
        <v>146</v>
      </c>
      <c r="B20" s="5" t="s">
        <v>4</v>
      </c>
      <c r="C20" s="5" t="s">
        <v>147</v>
      </c>
      <c r="D20"/>
      <c r="F20"/>
      <c r="H20"/>
      <c r="J20"/>
    </row>
    <row r="21" spans="1:23" x14ac:dyDescent="0.25">
      <c r="B21">
        <f>B2*B$17+B2</f>
        <v>1186.1826936425232</v>
      </c>
      <c r="C21">
        <v>1186.1826936425232</v>
      </c>
      <c r="D21"/>
      <c r="F21"/>
      <c r="H21"/>
      <c r="J21"/>
    </row>
    <row r="22" spans="1:23" x14ac:dyDescent="0.25">
      <c r="B22">
        <f t="shared" ref="B22:B25" si="2">B3*B$17+B3</f>
        <v>1205.1856204378082</v>
      </c>
      <c r="C22">
        <v>1205.1856204378082</v>
      </c>
      <c r="D22"/>
      <c r="F22"/>
      <c r="H22"/>
      <c r="J22"/>
    </row>
    <row r="23" spans="1:23" x14ac:dyDescent="0.25">
      <c r="B23">
        <f t="shared" si="2"/>
        <v>1169.1800749309525</v>
      </c>
      <c r="C23">
        <v>1169.1800749309525</v>
      </c>
      <c r="D23"/>
      <c r="F23"/>
      <c r="H23"/>
      <c r="J23"/>
    </row>
    <row r="24" spans="1:23" x14ac:dyDescent="0.25">
      <c r="B24">
        <f t="shared" si="2"/>
        <v>1169.1800749309525</v>
      </c>
      <c r="C24">
        <v>1169.1800749309525</v>
      </c>
      <c r="D24"/>
      <c r="F24"/>
      <c r="H24"/>
      <c r="J24"/>
    </row>
    <row r="25" spans="1:23" x14ac:dyDescent="0.25">
      <c r="A25" s="107"/>
      <c r="B25">
        <f t="shared" si="2"/>
        <v>1168.1799208890955</v>
      </c>
      <c r="C25" s="107">
        <v>1168.1799208890955</v>
      </c>
      <c r="D25" s="107"/>
      <c r="E25" s="107"/>
      <c r="F25" s="107"/>
      <c r="G25" s="107"/>
      <c r="I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</row>
    <row r="26" spans="1:23" x14ac:dyDescent="0.25">
      <c r="D26"/>
      <c r="F26"/>
      <c r="H26"/>
      <c r="J26"/>
    </row>
    <row r="27" spans="1:23" x14ac:dyDescent="0.25">
      <c r="A27" s="18" t="s">
        <v>126</v>
      </c>
      <c r="B27" s="19">
        <f>B8*(AVERAGE(K14:N14)-1)*N27+B8</f>
        <v>1179.5816769662665</v>
      </c>
      <c r="C27" s="19">
        <f>C8*(K14-1)*N27+C8</f>
        <v>163.41161335187763</v>
      </c>
      <c r="D27" s="31"/>
      <c r="E27" s="19">
        <f>E8*(AVERAGE(K14:L14)-1)*N27+E8</f>
        <v>155.64964054677819</v>
      </c>
      <c r="F27" s="31"/>
      <c r="G27" s="19">
        <f>G8*(AVERAGE(L14:M14)-1)*N27+G8</f>
        <v>152.9452311862693</v>
      </c>
      <c r="H27" s="31"/>
      <c r="I27" s="19">
        <f>I8*(AVERAGE(M14:N14)-1)*N27+I8</f>
        <v>140.74107634460799</v>
      </c>
      <c r="J27" s="31"/>
      <c r="K27" s="19"/>
      <c r="L27" s="19"/>
      <c r="M27" s="19" t="s">
        <v>130</v>
      </c>
      <c r="N27" s="19">
        <v>1</v>
      </c>
      <c r="O27" s="76"/>
      <c r="P27" s="76"/>
      <c r="Q27" s="76"/>
      <c r="R27" s="76"/>
      <c r="S27" s="76"/>
      <c r="T27" s="76"/>
      <c r="U27" s="76"/>
      <c r="V27" s="76"/>
    </row>
    <row r="28" spans="1:23" x14ac:dyDescent="0.25">
      <c r="A28" s="19"/>
      <c r="B28" s="19"/>
      <c r="C28" s="19"/>
      <c r="D28" s="31"/>
      <c r="E28" s="19"/>
      <c r="F28" s="31"/>
      <c r="G28" s="19"/>
      <c r="H28" s="31"/>
      <c r="I28" s="19"/>
      <c r="J28" s="31"/>
      <c r="K28" s="19"/>
      <c r="L28" s="19"/>
      <c r="M28" s="19"/>
      <c r="N28" s="19"/>
      <c r="O28" s="76"/>
      <c r="P28" s="76"/>
      <c r="Q28" s="76"/>
      <c r="R28" s="76"/>
      <c r="S28" s="76"/>
      <c r="T28" s="76"/>
      <c r="U28" s="76"/>
      <c r="V28" s="76"/>
    </row>
    <row r="29" spans="1:23" x14ac:dyDescent="0.25">
      <c r="A29" s="18" t="s">
        <v>128</v>
      </c>
      <c r="B29" s="115">
        <f>B11/B27-1</f>
        <v>6.8683945008455982E-2</v>
      </c>
      <c r="C29" s="115">
        <f>C11/C27-1</f>
        <v>6.048448013263652E-3</v>
      </c>
      <c r="D29" s="82"/>
      <c r="E29" s="115">
        <f>E11/E27-1</f>
        <v>-1.7023107393440262E-2</v>
      </c>
      <c r="F29" s="82"/>
      <c r="G29" s="115">
        <f>G11/G27-1</f>
        <v>-5.5263650897353633E-3</v>
      </c>
      <c r="H29" s="82"/>
      <c r="I29" s="115">
        <f>I11/I27-1</f>
        <v>0.1723656254837318</v>
      </c>
      <c r="J29" s="31"/>
      <c r="K29" s="19"/>
      <c r="L29" s="19"/>
      <c r="M29" s="19"/>
      <c r="N29" s="19"/>
      <c r="O29" s="76"/>
      <c r="P29" s="76"/>
      <c r="Q29" s="76"/>
      <c r="R29" s="76"/>
      <c r="S29" s="76"/>
      <c r="T29" s="76"/>
      <c r="U29" s="76"/>
      <c r="V29" s="76"/>
    </row>
    <row r="30" spans="1:23" ht="15.75" thickBot="1" x14ac:dyDescent="0.3">
      <c r="D30"/>
      <c r="F30"/>
      <c r="H30"/>
      <c r="J30" s="31"/>
      <c r="K30" s="19"/>
      <c r="L30" s="19"/>
      <c r="M30" s="19"/>
      <c r="N30" s="19"/>
      <c r="O30" s="76">
        <f>O11-O8</f>
        <v>69</v>
      </c>
      <c r="P30" s="76"/>
      <c r="Q30" s="76">
        <f>79-Q8</f>
        <v>80</v>
      </c>
      <c r="R30" s="76"/>
      <c r="S30" s="76">
        <f>S11-S8</f>
        <v>40</v>
      </c>
      <c r="T30" s="76"/>
      <c r="U30" s="76">
        <f>U11-U8</f>
        <v>63</v>
      </c>
      <c r="V30" s="76"/>
    </row>
    <row r="31" spans="1:23" ht="15.75" thickBot="1" x14ac:dyDescent="0.3">
      <c r="A31" s="127" t="s">
        <v>133</v>
      </c>
      <c r="B31" s="125"/>
      <c r="C31" s="125"/>
      <c r="D31" s="125"/>
      <c r="E31" s="125"/>
      <c r="F31" s="125"/>
      <c r="G31" s="125"/>
      <c r="H31" s="125"/>
      <c r="I31" s="126"/>
      <c r="J31" s="31"/>
      <c r="K31" s="19"/>
      <c r="L31" s="19"/>
      <c r="M31" s="19"/>
      <c r="N31" s="19"/>
    </row>
    <row r="32" spans="1:23" ht="15.75" thickBot="1" x14ac:dyDescent="0.3">
      <c r="A32" s="118" t="s">
        <v>127</v>
      </c>
      <c r="B32" s="119">
        <f>B27/B11-1</f>
        <v>-6.4269651779893189E-2</v>
      </c>
      <c r="C32" s="119">
        <f>C27/C11-1</f>
        <v>-6.0120842343209802E-3</v>
      </c>
      <c r="D32" s="120"/>
      <c r="E32" s="119">
        <f>E27/E11-1</f>
        <v>1.731791207044564E-2</v>
      </c>
      <c r="F32" s="120"/>
      <c r="G32" s="119">
        <f>G27/G11-1</f>
        <v>5.5570755178784292E-3</v>
      </c>
      <c r="H32" s="120"/>
      <c r="I32" s="119">
        <f>I27/I11-1</f>
        <v>-0.14702377972964853</v>
      </c>
      <c r="J32" s="31"/>
      <c r="K32" s="19"/>
      <c r="L32" s="19"/>
      <c r="M32" s="19"/>
      <c r="N32" s="19"/>
      <c r="O32" s="134" t="s">
        <v>133</v>
      </c>
      <c r="P32" s="133"/>
      <c r="Q32" s="133"/>
      <c r="R32" s="133"/>
      <c r="S32" s="133"/>
      <c r="T32" s="133"/>
      <c r="U32" s="133"/>
      <c r="V32" s="133"/>
      <c r="W32" s="135"/>
    </row>
    <row r="33" spans="1:23" x14ac:dyDescent="0.25">
      <c r="A33" s="118"/>
      <c r="B33" s="119"/>
      <c r="C33" s="118"/>
      <c r="D33" s="118"/>
      <c r="E33" s="118"/>
      <c r="F33" s="118"/>
      <c r="G33" s="118"/>
      <c r="H33" s="118"/>
      <c r="I33" s="118"/>
      <c r="J33"/>
      <c r="O33" s="118" t="s">
        <v>127</v>
      </c>
      <c r="P33" s="118"/>
      <c r="Q33" s="121"/>
      <c r="R33" s="121"/>
      <c r="S33" s="121"/>
      <c r="T33" s="121"/>
      <c r="U33" s="121"/>
      <c r="V33" s="121"/>
      <c r="W33" s="121"/>
    </row>
    <row r="34" spans="1:23" x14ac:dyDescent="0.25">
      <c r="A34" s="118" t="s">
        <v>129</v>
      </c>
      <c r="B34" s="119">
        <f>AVERAGE(C32,E32,G32)</f>
        <v>5.6209677846676964E-3</v>
      </c>
      <c r="C34" s="119"/>
      <c r="D34" s="120"/>
      <c r="E34" s="119"/>
      <c r="F34" s="120"/>
      <c r="G34" s="119"/>
      <c r="H34" s="120"/>
      <c r="I34" s="119"/>
      <c r="J34"/>
      <c r="O34" s="117"/>
      <c r="P34" s="117"/>
      <c r="Q34" s="122" t="s">
        <v>131</v>
      </c>
      <c r="R34" s="120">
        <f>-AVERAGE(O30,Q30)/100</f>
        <v>-0.745</v>
      </c>
      <c r="S34" s="120">
        <f>AVERAGE(O11,Q11)/100</f>
        <v>0.79</v>
      </c>
      <c r="T34" s="118"/>
      <c r="U34" s="122" t="s">
        <v>132</v>
      </c>
      <c r="V34" s="120">
        <f>-AVERAGE(S30,U30)/100</f>
        <v>-0.51500000000000001</v>
      </c>
      <c r="W34" s="120">
        <f>AVERAGE(S11,U11)/100</f>
        <v>0.73</v>
      </c>
    </row>
    <row r="35" spans="1:23" x14ac:dyDescent="0.25">
      <c r="D35" s="107"/>
      <c r="F35" s="107"/>
    </row>
    <row r="36" spans="1:23" x14ac:dyDescent="0.25">
      <c r="D36" s="107"/>
      <c r="F36" s="107"/>
    </row>
    <row r="37" spans="1:23" x14ac:dyDescent="0.25">
      <c r="D37" s="107"/>
      <c r="F37" s="107"/>
    </row>
    <row r="38" spans="1:23" x14ac:dyDescent="0.25">
      <c r="D38" s="107"/>
      <c r="F38" s="107"/>
    </row>
    <row r="39" spans="1:23" x14ac:dyDescent="0.25">
      <c r="D39" s="107"/>
      <c r="F39" s="107"/>
    </row>
    <row r="40" spans="1:23" x14ac:dyDescent="0.25">
      <c r="D40" s="107"/>
      <c r="F40" s="107"/>
    </row>
    <row r="41" spans="1:23" x14ac:dyDescent="0.25">
      <c r="D41" s="107"/>
    </row>
    <row r="42" spans="1:23" x14ac:dyDescent="0.25">
      <c r="D42" s="107"/>
    </row>
    <row r="43" spans="1:23" x14ac:dyDescent="0.25">
      <c r="D43" s="107"/>
    </row>
    <row r="44" spans="1:23" x14ac:dyDescent="0.25">
      <c r="D44" s="107"/>
    </row>
    <row r="45" spans="1:23" x14ac:dyDescent="0.25">
      <c r="D45" s="107"/>
    </row>
    <row r="46" spans="1:23" x14ac:dyDescent="0.25">
      <c r="D46" s="107"/>
    </row>
    <row r="47" spans="1:23" x14ac:dyDescent="0.25">
      <c r="D47" s="107"/>
    </row>
    <row r="48" spans="1:23" x14ac:dyDescent="0.25">
      <c r="D48" s="107"/>
    </row>
    <row r="49" spans="4:4" x14ac:dyDescent="0.25">
      <c r="D49" s="107"/>
    </row>
    <row r="50" spans="4:4" x14ac:dyDescent="0.25">
      <c r="D50" s="107"/>
    </row>
    <row r="51" spans="4:4" x14ac:dyDescent="0.25">
      <c r="D51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1099-C855-4A88-BD63-7AE43A696C05}">
  <dimension ref="A3:O59"/>
  <sheetViews>
    <sheetView topLeftCell="A25" workbookViewId="0">
      <selection activeCell="R44" sqref="R44"/>
    </sheetView>
  </sheetViews>
  <sheetFormatPr defaultRowHeight="15" x14ac:dyDescent="0.25"/>
  <cols>
    <col min="1" max="1" width="14" customWidth="1"/>
    <col min="2" max="2" width="14.5703125" customWidth="1"/>
    <col min="3" max="3" width="12.28515625" customWidth="1"/>
    <col min="4" max="4" width="14.28515625" customWidth="1"/>
    <col min="5" max="5" width="10.42578125" customWidth="1"/>
    <col min="9" max="9" width="22.140625" customWidth="1"/>
    <col min="10" max="10" width="10.140625" customWidth="1"/>
  </cols>
  <sheetData>
    <row r="3" spans="2:15" x14ac:dyDescent="0.25">
      <c r="B3" s="1" t="s">
        <v>1</v>
      </c>
    </row>
    <row r="5" spans="2:15" x14ac:dyDescent="0.25">
      <c r="B5" s="2" t="s">
        <v>2</v>
      </c>
      <c r="C5" s="2" t="s">
        <v>4</v>
      </c>
      <c r="D5" s="1" t="s">
        <v>106</v>
      </c>
      <c r="E5" s="1" t="s">
        <v>107</v>
      </c>
      <c r="F5" s="1" t="s">
        <v>108</v>
      </c>
      <c r="G5" s="1" t="s">
        <v>109</v>
      </c>
      <c r="H5" s="1" t="s">
        <v>108</v>
      </c>
      <c r="I5" s="1" t="s">
        <v>109</v>
      </c>
      <c r="J5" s="1" t="s">
        <v>110</v>
      </c>
      <c r="K5" s="1" t="s">
        <v>111</v>
      </c>
      <c r="L5" s="1" t="s">
        <v>113</v>
      </c>
      <c r="M5" s="1" t="s">
        <v>112</v>
      </c>
      <c r="N5" s="1" t="s">
        <v>114</v>
      </c>
      <c r="O5" s="1" t="s">
        <v>115</v>
      </c>
    </row>
    <row r="6" spans="2:15" x14ac:dyDescent="0.25">
      <c r="B6" s="3">
        <v>2.0833333333333333E-3</v>
      </c>
      <c r="C6">
        <v>1196</v>
      </c>
      <c r="D6">
        <v>160</v>
      </c>
      <c r="F6">
        <v>154</v>
      </c>
      <c r="H6">
        <v>153</v>
      </c>
    </row>
    <row r="7" spans="2:15" x14ac:dyDescent="0.25">
      <c r="B7" s="3">
        <v>3.472222222222222E-3</v>
      </c>
      <c r="C7">
        <v>1186</v>
      </c>
      <c r="D7">
        <v>159</v>
      </c>
      <c r="F7">
        <v>154</v>
      </c>
      <c r="H7">
        <v>152</v>
      </c>
    </row>
    <row r="8" spans="2:15" x14ac:dyDescent="0.25">
      <c r="B8" s="3">
        <v>5.6944444444444443E-2</v>
      </c>
      <c r="C8">
        <v>1192</v>
      </c>
      <c r="D8">
        <v>160</v>
      </c>
      <c r="F8">
        <v>154</v>
      </c>
      <c r="H8">
        <v>153</v>
      </c>
    </row>
    <row r="12" spans="2:15" x14ac:dyDescent="0.25">
      <c r="B12" s="2" t="s">
        <v>3</v>
      </c>
      <c r="C12" s="2" t="s">
        <v>4</v>
      </c>
      <c r="D12" s="1" t="s">
        <v>106</v>
      </c>
      <c r="E12" s="1" t="s">
        <v>107</v>
      </c>
      <c r="F12" s="1" t="s">
        <v>108</v>
      </c>
      <c r="G12" s="1" t="s">
        <v>109</v>
      </c>
      <c r="H12" s="1" t="s">
        <v>108</v>
      </c>
      <c r="I12" s="1" t="s">
        <v>109</v>
      </c>
      <c r="J12" s="1" t="s">
        <v>110</v>
      </c>
      <c r="K12" s="1" t="s">
        <v>111</v>
      </c>
      <c r="L12" s="1" t="s">
        <v>113</v>
      </c>
      <c r="M12" s="1" t="s">
        <v>112</v>
      </c>
      <c r="N12" s="1" t="s">
        <v>114</v>
      </c>
      <c r="O12" s="1" t="s">
        <v>115</v>
      </c>
    </row>
    <row r="13" spans="2:15" x14ac:dyDescent="0.25">
      <c r="B13" s="3">
        <v>8.3333333333333329E-2</v>
      </c>
      <c r="C13">
        <v>1274</v>
      </c>
      <c r="D13">
        <v>162</v>
      </c>
      <c r="F13">
        <v>153</v>
      </c>
      <c r="H13">
        <v>155</v>
      </c>
    </row>
    <row r="14" spans="2:15" x14ac:dyDescent="0.25">
      <c r="B14" s="3">
        <v>0.10069444444444443</v>
      </c>
      <c r="C14">
        <v>1248</v>
      </c>
      <c r="D14">
        <v>162</v>
      </c>
      <c r="F14">
        <v>154</v>
      </c>
      <c r="H14">
        <v>153</v>
      </c>
    </row>
    <row r="15" spans="2:15" x14ac:dyDescent="0.25">
      <c r="B15" s="3">
        <v>0.1173611111111111</v>
      </c>
      <c r="C15">
        <v>1250</v>
      </c>
      <c r="D15">
        <v>162</v>
      </c>
      <c r="F15">
        <v>152</v>
      </c>
      <c r="H15">
        <v>154</v>
      </c>
    </row>
    <row r="16" spans="2:15" x14ac:dyDescent="0.25">
      <c r="B16" s="3">
        <v>0.14305555555555557</v>
      </c>
      <c r="C16">
        <v>1280</v>
      </c>
      <c r="D16">
        <v>163</v>
      </c>
      <c r="F16">
        <v>154</v>
      </c>
      <c r="H16">
        <v>155</v>
      </c>
    </row>
    <row r="17" spans="1:15" x14ac:dyDescent="0.25">
      <c r="B17" s="3">
        <v>0.14652777777777778</v>
      </c>
      <c r="C17">
        <v>1256</v>
      </c>
      <c r="D17">
        <v>163</v>
      </c>
      <c r="F17">
        <v>153</v>
      </c>
      <c r="H17">
        <v>152</v>
      </c>
    </row>
    <row r="20" spans="1:15" x14ac:dyDescent="0.25">
      <c r="B20" s="1" t="s">
        <v>0</v>
      </c>
      <c r="E20" s="5"/>
      <c r="F20" s="5"/>
      <c r="G20" s="5"/>
    </row>
    <row r="21" spans="1:15" x14ac:dyDescent="0.25">
      <c r="E21" s="5"/>
      <c r="F21" s="5"/>
      <c r="G21" s="5"/>
    </row>
    <row r="22" spans="1:15" x14ac:dyDescent="0.25">
      <c r="B22" s="2" t="s">
        <v>2</v>
      </c>
      <c r="C22" s="2" t="s">
        <v>4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108</v>
      </c>
      <c r="I22" s="1" t="s">
        <v>109</v>
      </c>
      <c r="J22" s="1" t="s">
        <v>110</v>
      </c>
      <c r="K22" s="1" t="s">
        <v>111</v>
      </c>
      <c r="L22" s="1" t="s">
        <v>113</v>
      </c>
      <c r="M22" s="1" t="s">
        <v>112</v>
      </c>
      <c r="N22" s="1" t="s">
        <v>114</v>
      </c>
      <c r="O22" s="1" t="s">
        <v>115</v>
      </c>
    </row>
    <row r="23" spans="1:15" x14ac:dyDescent="0.25">
      <c r="B23" s="3">
        <v>1.4583333333333332E-2</v>
      </c>
      <c r="C23">
        <v>1190</v>
      </c>
      <c r="D23">
        <v>159</v>
      </c>
      <c r="F23">
        <v>155</v>
      </c>
      <c r="H23">
        <v>154</v>
      </c>
    </row>
    <row r="24" spans="1:15" x14ac:dyDescent="0.25">
      <c r="B24" s="3">
        <v>3.125E-2</v>
      </c>
      <c r="C24">
        <v>1170</v>
      </c>
      <c r="D24">
        <v>158</v>
      </c>
      <c r="F24">
        <v>154</v>
      </c>
      <c r="H24">
        <v>153</v>
      </c>
      <c r="O24">
        <v>265</v>
      </c>
    </row>
    <row r="29" spans="1:15" x14ac:dyDescent="0.25">
      <c r="B29" s="2" t="s">
        <v>3</v>
      </c>
      <c r="C29" s="2" t="s">
        <v>4</v>
      </c>
      <c r="D29" s="1" t="s">
        <v>106</v>
      </c>
      <c r="E29" s="1" t="s">
        <v>107</v>
      </c>
      <c r="F29" s="1" t="s">
        <v>108</v>
      </c>
      <c r="G29" s="1" t="s">
        <v>109</v>
      </c>
      <c r="H29" s="1" t="s">
        <v>108</v>
      </c>
      <c r="I29" s="1" t="s">
        <v>109</v>
      </c>
      <c r="J29" s="1" t="s">
        <v>110</v>
      </c>
      <c r="K29" s="1" t="s">
        <v>111</v>
      </c>
      <c r="L29" s="1" t="s">
        <v>113</v>
      </c>
      <c r="M29" s="1" t="s">
        <v>112</v>
      </c>
      <c r="N29" s="1" t="s">
        <v>114</v>
      </c>
      <c r="O29" s="1" t="s">
        <v>115</v>
      </c>
    </row>
    <row r="30" spans="1:15" x14ac:dyDescent="0.25">
      <c r="A30" t="s">
        <v>12</v>
      </c>
      <c r="B30" s="3">
        <v>4.8611111111111112E-3</v>
      </c>
      <c r="C30">
        <v>1250</v>
      </c>
      <c r="D30">
        <v>163</v>
      </c>
      <c r="F30">
        <v>153</v>
      </c>
      <c r="H30">
        <v>153</v>
      </c>
    </row>
    <row r="31" spans="1:15" x14ac:dyDescent="0.25">
      <c r="B31" s="3">
        <v>7.9166666666666663E-2</v>
      </c>
      <c r="C31">
        <v>1294</v>
      </c>
      <c r="D31">
        <v>163</v>
      </c>
      <c r="F31">
        <v>155</v>
      </c>
      <c r="H31">
        <v>154</v>
      </c>
      <c r="O31">
        <v>275</v>
      </c>
    </row>
    <row r="32" spans="1:15" x14ac:dyDescent="0.25">
      <c r="B32" s="3">
        <v>0.12222222222222223</v>
      </c>
      <c r="C32">
        <v>1227</v>
      </c>
      <c r="D32">
        <v>159</v>
      </c>
      <c r="F32">
        <v>152</v>
      </c>
      <c r="H32">
        <v>152</v>
      </c>
    </row>
    <row r="34" spans="2:10" x14ac:dyDescent="0.25">
      <c r="B34" s="1" t="s">
        <v>15</v>
      </c>
      <c r="C34" s="1"/>
      <c r="D34" s="1"/>
      <c r="E34" s="1"/>
      <c r="F34" s="1"/>
      <c r="G34" s="1"/>
      <c r="H34" s="1"/>
    </row>
    <row r="35" spans="2:10" ht="15.75" thickBot="1" x14ac:dyDescent="0.3">
      <c r="B35" s="1" t="s">
        <v>1</v>
      </c>
      <c r="C35" s="1" t="s">
        <v>71</v>
      </c>
      <c r="D35" s="1" t="s">
        <v>4</v>
      </c>
      <c r="E35" s="1" t="s">
        <v>5</v>
      </c>
      <c r="F35" s="1" t="s">
        <v>7</v>
      </c>
      <c r="G35" s="1" t="s">
        <v>8</v>
      </c>
      <c r="H35" s="1" t="s">
        <v>20</v>
      </c>
      <c r="I35" s="1" t="s">
        <v>90</v>
      </c>
      <c r="J35" s="1" t="s">
        <v>91</v>
      </c>
    </row>
    <row r="36" spans="2:10" x14ac:dyDescent="0.25">
      <c r="B36" s="2" t="s">
        <v>2</v>
      </c>
      <c r="C36" s="50">
        <v>5.6944444444444443E-2</v>
      </c>
      <c r="D36" s="10">
        <v>1192</v>
      </c>
      <c r="E36" s="10">
        <v>160</v>
      </c>
      <c r="F36" s="10">
        <v>154</v>
      </c>
      <c r="G36" s="10">
        <v>153</v>
      </c>
      <c r="H36" s="13">
        <v>144</v>
      </c>
      <c r="I36" t="s">
        <v>92</v>
      </c>
      <c r="J36" t="s">
        <v>93</v>
      </c>
    </row>
    <row r="37" spans="2:10" ht="15.75" thickBot="1" x14ac:dyDescent="0.3">
      <c r="B37" s="2" t="s">
        <v>3</v>
      </c>
      <c r="C37" s="51">
        <v>0.14305555555555557</v>
      </c>
      <c r="D37" s="25">
        <v>1280</v>
      </c>
      <c r="E37" s="25">
        <v>163</v>
      </c>
      <c r="F37" s="25">
        <v>154</v>
      </c>
      <c r="G37" s="25">
        <v>155</v>
      </c>
      <c r="H37" s="28">
        <v>164</v>
      </c>
      <c r="I37" t="s">
        <v>94</v>
      </c>
      <c r="J37" t="s">
        <v>95</v>
      </c>
    </row>
    <row r="39" spans="2:10" ht="15.75" thickBot="1" x14ac:dyDescent="0.3">
      <c r="B39" s="1" t="s">
        <v>0</v>
      </c>
      <c r="C39" s="1" t="s">
        <v>71</v>
      </c>
      <c r="D39" s="1" t="s">
        <v>4</v>
      </c>
      <c r="E39" s="1" t="s">
        <v>5</v>
      </c>
      <c r="F39" s="1" t="s">
        <v>7</v>
      </c>
      <c r="G39" s="1" t="s">
        <v>8</v>
      </c>
      <c r="H39" s="1" t="s">
        <v>20</v>
      </c>
    </row>
    <row r="40" spans="2:10" x14ac:dyDescent="0.25">
      <c r="B40" s="2" t="s">
        <v>2</v>
      </c>
      <c r="C40" s="50">
        <v>3.125E-2</v>
      </c>
      <c r="D40" s="10">
        <v>1170</v>
      </c>
      <c r="E40" s="10">
        <v>158</v>
      </c>
      <c r="F40" s="10">
        <v>154</v>
      </c>
      <c r="G40" s="10">
        <v>153</v>
      </c>
      <c r="H40" s="13">
        <v>139</v>
      </c>
      <c r="I40" t="s">
        <v>96</v>
      </c>
      <c r="J40" t="s">
        <v>97</v>
      </c>
    </row>
    <row r="41" spans="2:10" ht="15.75" thickBot="1" x14ac:dyDescent="0.3">
      <c r="B41" s="2" t="s">
        <v>3</v>
      </c>
      <c r="C41" s="51">
        <v>7.9166666666666663E-2</v>
      </c>
      <c r="D41" s="25">
        <v>1294</v>
      </c>
      <c r="E41" s="25">
        <v>163</v>
      </c>
      <c r="F41" s="25">
        <v>155</v>
      </c>
      <c r="G41" s="25">
        <v>154</v>
      </c>
      <c r="H41" s="28">
        <f>(173+164)/2</f>
        <v>168.5</v>
      </c>
      <c r="I41" t="s">
        <v>98</v>
      </c>
      <c r="J41" t="s">
        <v>99</v>
      </c>
    </row>
    <row r="42" spans="2:10" x14ac:dyDescent="0.25">
      <c r="I42" s="97" t="s">
        <v>104</v>
      </c>
      <c r="J42" s="97" t="s">
        <v>100</v>
      </c>
    </row>
    <row r="43" spans="2:10" ht="15.75" thickBot="1" x14ac:dyDescent="0.3">
      <c r="E43" s="2" t="s">
        <v>61</v>
      </c>
      <c r="F43" s="2"/>
      <c r="G43" s="2"/>
      <c r="H43" s="2" t="s">
        <v>62</v>
      </c>
      <c r="I43" s="99">
        <f>(20+50+0+70)/4</f>
        <v>35</v>
      </c>
      <c r="J43" s="99" t="s">
        <v>102</v>
      </c>
    </row>
    <row r="44" spans="2:10" ht="15.75" thickBot="1" x14ac:dyDescent="0.3">
      <c r="D44" s="1" t="s">
        <v>4</v>
      </c>
      <c r="E44" s="1" t="s">
        <v>58</v>
      </c>
      <c r="F44" s="1" t="s">
        <v>59</v>
      </c>
      <c r="G44" s="1" t="s">
        <v>59</v>
      </c>
      <c r="H44" s="1" t="s">
        <v>60</v>
      </c>
      <c r="I44" s="98" t="s">
        <v>101</v>
      </c>
      <c r="J44" s="98" t="s">
        <v>101</v>
      </c>
    </row>
    <row r="45" spans="2:10" ht="15.75" thickBot="1" x14ac:dyDescent="0.3">
      <c r="C45" s="2" t="s">
        <v>2</v>
      </c>
      <c r="D45" s="9">
        <f t="shared" ref="D45:H46" si="0">(D36+D40)/2</f>
        <v>1181</v>
      </c>
      <c r="E45" s="10">
        <f t="shared" si="0"/>
        <v>159</v>
      </c>
      <c r="F45" s="10">
        <f t="shared" si="0"/>
        <v>154</v>
      </c>
      <c r="G45" s="10">
        <f t="shared" si="0"/>
        <v>153</v>
      </c>
      <c r="H45" s="13">
        <f t="shared" si="0"/>
        <v>141.5</v>
      </c>
      <c r="I45" s="100"/>
      <c r="J45" s="100" t="s">
        <v>103</v>
      </c>
    </row>
    <row r="46" spans="2:10" ht="15.75" thickBot="1" x14ac:dyDescent="0.3">
      <c r="C46" s="2" t="s">
        <v>3</v>
      </c>
      <c r="D46" s="22">
        <f t="shared" si="0"/>
        <v>1287</v>
      </c>
      <c r="E46" s="25">
        <f t="shared" si="0"/>
        <v>163</v>
      </c>
      <c r="F46" s="25">
        <f t="shared" si="0"/>
        <v>154.5</v>
      </c>
      <c r="G46" s="25">
        <f t="shared" si="0"/>
        <v>154.5</v>
      </c>
      <c r="H46" s="28">
        <f t="shared" si="0"/>
        <v>166.25</v>
      </c>
    </row>
    <row r="48" spans="2:10" ht="15.75" thickBot="1" x14ac:dyDescent="0.3">
      <c r="D48" s="1" t="s">
        <v>4</v>
      </c>
      <c r="E48" s="1" t="s">
        <v>58</v>
      </c>
      <c r="F48" s="1" t="s">
        <v>59</v>
      </c>
      <c r="G48" s="1" t="s">
        <v>59</v>
      </c>
      <c r="H48" s="1" t="s">
        <v>60</v>
      </c>
    </row>
    <row r="49" spans="3:8" x14ac:dyDescent="0.25">
      <c r="C49" s="2" t="s">
        <v>2</v>
      </c>
      <c r="D49" s="9" t="e">
        <f>D45*AVERAGE(P60:S60)</f>
        <v>#DIV/0!</v>
      </c>
      <c r="E49" s="10">
        <f>E45*P63</f>
        <v>0</v>
      </c>
      <c r="F49" s="10">
        <f>F45*Q63</f>
        <v>0</v>
      </c>
      <c r="G49" s="10">
        <f>G45*R63</f>
        <v>0</v>
      </c>
      <c r="H49" s="13">
        <f>H45*S63</f>
        <v>0</v>
      </c>
    </row>
    <row r="50" spans="3:8" ht="15.75" thickBot="1" x14ac:dyDescent="0.3">
      <c r="C50" s="2" t="s">
        <v>3</v>
      </c>
      <c r="D50" s="22">
        <f>D46</f>
        <v>1287</v>
      </c>
      <c r="E50" s="25">
        <f>E46</f>
        <v>163</v>
      </c>
      <c r="F50" s="25">
        <f>F46</f>
        <v>154.5</v>
      </c>
      <c r="G50" s="25">
        <f>G46</f>
        <v>154.5</v>
      </c>
      <c r="H50" s="28">
        <f>H46</f>
        <v>166.25</v>
      </c>
    </row>
    <row r="52" spans="3:8" ht="15.75" thickBot="1" x14ac:dyDescent="0.3">
      <c r="C52" s="2" t="s">
        <v>63</v>
      </c>
      <c r="D52" t="e">
        <f>D50/D49</f>
        <v>#DIV/0!</v>
      </c>
      <c r="E52" t="e">
        <f>E50/E49</f>
        <v>#DIV/0!</v>
      </c>
      <c r="F52" t="e">
        <f>F50/F49</f>
        <v>#DIV/0!</v>
      </c>
      <c r="G52" t="e">
        <f>G50/G49</f>
        <v>#DIV/0!</v>
      </c>
      <c r="H52" t="e">
        <f>H50/H49</f>
        <v>#DIV/0!</v>
      </c>
    </row>
    <row r="53" spans="3:8" ht="15.75" thickBot="1" x14ac:dyDescent="0.3">
      <c r="D53" s="47" t="e">
        <f>(D52-1)</f>
        <v>#DIV/0!</v>
      </c>
      <c r="E53" s="48" t="e">
        <f>(E52-1)</f>
        <v>#DIV/0!</v>
      </c>
      <c r="F53" s="48" t="e">
        <f>(F52-1)</f>
        <v>#DIV/0!</v>
      </c>
      <c r="G53" s="48" t="e">
        <f>(G52-1)</f>
        <v>#DIV/0!</v>
      </c>
      <c r="H53" s="49" t="e">
        <f>(H52-1)</f>
        <v>#DIV/0!</v>
      </c>
    </row>
    <row r="55" spans="3:8" ht="15.75" thickBot="1" x14ac:dyDescent="0.3">
      <c r="C55" s="2" t="s">
        <v>85</v>
      </c>
      <c r="D55" t="e">
        <f>D49/D50</f>
        <v>#DIV/0!</v>
      </c>
      <c r="E55">
        <f>E49/E50</f>
        <v>0</v>
      </c>
      <c r="F55">
        <f>F49/F50</f>
        <v>0</v>
      </c>
      <c r="G55">
        <f>G49/G50</f>
        <v>0</v>
      </c>
      <c r="H55">
        <f>H49/H50</f>
        <v>0</v>
      </c>
    </row>
    <row r="56" spans="3:8" ht="15.75" thickBot="1" x14ac:dyDescent="0.3">
      <c r="D56" s="47" t="e">
        <f>(D55-1)</f>
        <v>#DIV/0!</v>
      </c>
      <c r="E56" s="48">
        <f>(E55-1)</f>
        <v>-1</v>
      </c>
      <c r="F56" s="48">
        <f>(F55-1)</f>
        <v>-1</v>
      </c>
      <c r="G56" s="48">
        <f>(G55-1)</f>
        <v>-1</v>
      </c>
      <c r="H56" s="49">
        <f>(H55-1)</f>
        <v>-1</v>
      </c>
    </row>
    <row r="58" spans="3:8" x14ac:dyDescent="0.25">
      <c r="E58" s="88">
        <f>AVERAGE(E55:H55)</f>
        <v>0</v>
      </c>
    </row>
    <row r="59" spans="3:8" x14ac:dyDescent="0.25">
      <c r="E59" s="71">
        <f>AVERAGE(E56:H56)</f>
        <v>-1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6448-6206-4FCE-BC7E-47676E6849E5}">
  <dimension ref="A1:AU120"/>
  <sheetViews>
    <sheetView topLeftCell="A31" zoomScaleNormal="100" workbookViewId="0">
      <selection activeCell="D50" sqref="D50"/>
    </sheetView>
  </sheetViews>
  <sheetFormatPr defaultRowHeight="15" x14ac:dyDescent="0.25"/>
  <cols>
    <col min="1" max="1" width="7.5703125" customWidth="1"/>
    <col min="2" max="2" width="19.85546875" customWidth="1"/>
    <col min="3" max="3" width="19.28515625" customWidth="1"/>
    <col min="5" max="5" width="12.5703125" customWidth="1"/>
    <col min="6" max="6" width="10.28515625" customWidth="1"/>
    <col min="7" max="7" width="12.28515625" customWidth="1"/>
    <col min="9" max="10" width="19.5703125" customWidth="1"/>
    <col min="11" max="11" width="18.140625" customWidth="1"/>
    <col min="13" max="13" width="11.5703125" customWidth="1"/>
    <col min="14" max="14" width="11.42578125" customWidth="1"/>
    <col min="17" max="17" width="12.28515625" customWidth="1"/>
    <col min="18" max="18" width="8.5703125" customWidth="1"/>
    <col min="19" max="19" width="25" customWidth="1"/>
    <col min="20" max="20" width="6.42578125" customWidth="1"/>
    <col min="21" max="21" width="7.140625" customWidth="1"/>
    <col min="22" max="22" width="9.42578125" customWidth="1"/>
    <col min="23" max="23" width="8" customWidth="1"/>
    <col min="24" max="24" width="7.5703125" customWidth="1"/>
    <col min="25" max="25" width="6.28515625" customWidth="1"/>
    <col min="26" max="26" width="6.42578125" customWidth="1"/>
    <col min="27" max="27" width="8.7109375" customWidth="1"/>
    <col min="28" max="28" width="8.140625" customWidth="1"/>
    <col min="29" max="29" width="6.42578125" customWidth="1"/>
    <col min="31" max="31" width="7.5703125" customWidth="1"/>
    <col min="32" max="32" width="30.42578125" customWidth="1"/>
  </cols>
  <sheetData>
    <row r="1" spans="2:34" x14ac:dyDescent="0.25">
      <c r="V1" s="6"/>
    </row>
    <row r="2" spans="2:34" x14ac:dyDescent="0.25">
      <c r="V2" s="6"/>
    </row>
    <row r="3" spans="2:34" ht="15.75" thickBot="1" x14ac:dyDescent="0.3">
      <c r="B3" s="1" t="s">
        <v>1</v>
      </c>
      <c r="V3" s="6"/>
      <c r="X3" s="1" t="s">
        <v>0</v>
      </c>
      <c r="AE3" s="8">
        <f>(1+AC4)*AE7</f>
        <v>158.43648208469057</v>
      </c>
      <c r="AF3" s="8">
        <f>(1+AB4)*AF7</f>
        <v>162.25752508361202</v>
      </c>
      <c r="AG3" s="8">
        <f>(1+AA4)*AG7</f>
        <v>176.61538461538461</v>
      </c>
    </row>
    <row r="4" spans="2:34" x14ac:dyDescent="0.25">
      <c r="C4" t="s">
        <v>9</v>
      </c>
      <c r="D4" t="s">
        <v>10</v>
      </c>
      <c r="E4" t="s">
        <v>11</v>
      </c>
      <c r="V4" s="6"/>
      <c r="W4" s="9"/>
      <c r="X4" s="10"/>
      <c r="Y4" s="10"/>
      <c r="Z4" s="10"/>
      <c r="AA4" s="11">
        <f>(AA6/AH6)-1</f>
        <v>7.6923076923076872E-2</v>
      </c>
      <c r="AB4" s="11">
        <f>(AB6/AG6)-1</f>
        <v>4.6822742474916357E-2</v>
      </c>
      <c r="AC4" s="11">
        <f>(AC6/AF6)-1</f>
        <v>4.2345276872964188E-2</v>
      </c>
      <c r="AD4" s="12">
        <f>AVERAGE(AA4:AC4)</f>
        <v>5.5363698756985803E-2</v>
      </c>
      <c r="AE4" s="11"/>
      <c r="AF4" s="11"/>
      <c r="AG4" s="11"/>
      <c r="AH4" s="29"/>
    </row>
    <row r="5" spans="2:34" x14ac:dyDescent="0.25">
      <c r="B5" s="2" t="s">
        <v>2</v>
      </c>
      <c r="C5" s="2" t="s">
        <v>4</v>
      </c>
      <c r="D5" s="2" t="s">
        <v>6</v>
      </c>
      <c r="E5" s="2" t="s">
        <v>5</v>
      </c>
      <c r="F5" s="2" t="s">
        <v>7</v>
      </c>
      <c r="G5" s="2" t="s">
        <v>8</v>
      </c>
      <c r="V5" s="6"/>
      <c r="W5" s="14" t="s">
        <v>42</v>
      </c>
      <c r="X5" s="15" t="s">
        <v>25</v>
      </c>
      <c r="Y5" s="15" t="s">
        <v>27</v>
      </c>
      <c r="Z5" s="15" t="s">
        <v>28</v>
      </c>
      <c r="AA5" s="15" t="s">
        <v>31</v>
      </c>
      <c r="AB5" s="15" t="s">
        <v>32</v>
      </c>
      <c r="AC5" s="15" t="s">
        <v>33</v>
      </c>
      <c r="AD5" s="16" t="s">
        <v>34</v>
      </c>
      <c r="AE5" s="16" t="s">
        <v>35</v>
      </c>
      <c r="AF5" s="15" t="s">
        <v>36</v>
      </c>
      <c r="AG5" s="15" t="s">
        <v>37</v>
      </c>
      <c r="AH5" s="17" t="s">
        <v>39</v>
      </c>
    </row>
    <row r="6" spans="2:34" x14ac:dyDescent="0.25">
      <c r="B6" s="3">
        <v>2.0833333333333333E-3</v>
      </c>
      <c r="C6">
        <v>1196</v>
      </c>
      <c r="D6">
        <v>303</v>
      </c>
      <c r="E6">
        <v>160</v>
      </c>
      <c r="F6">
        <v>154</v>
      </c>
      <c r="G6">
        <v>153</v>
      </c>
      <c r="N6" s="2" t="s">
        <v>62</v>
      </c>
      <c r="O6" s="2"/>
      <c r="P6" s="2"/>
      <c r="Q6" s="2" t="s">
        <v>61</v>
      </c>
      <c r="V6" s="6"/>
      <c r="W6" s="14"/>
      <c r="X6" s="18" t="s">
        <v>29</v>
      </c>
      <c r="Y6" s="19">
        <v>615</v>
      </c>
      <c r="Z6" s="19">
        <v>636</v>
      </c>
      <c r="AA6" s="19">
        <v>280</v>
      </c>
      <c r="AB6" s="19">
        <v>313</v>
      </c>
      <c r="AC6" s="19">
        <v>320</v>
      </c>
      <c r="AD6" s="18">
        <v>311</v>
      </c>
      <c r="AE6" s="18">
        <v>309</v>
      </c>
      <c r="AF6" s="19">
        <v>307</v>
      </c>
      <c r="AG6" s="19">
        <v>299</v>
      </c>
      <c r="AH6" s="20">
        <v>260</v>
      </c>
    </row>
    <row r="7" spans="2:34" ht="15.75" thickBot="1" x14ac:dyDescent="0.3">
      <c r="B7" s="3">
        <v>3.472222222222222E-3</v>
      </c>
      <c r="C7">
        <v>1186</v>
      </c>
      <c r="D7">
        <v>300</v>
      </c>
      <c r="E7">
        <v>159</v>
      </c>
      <c r="F7">
        <v>154</v>
      </c>
      <c r="G7">
        <v>152</v>
      </c>
      <c r="N7" s="1" t="s">
        <v>19</v>
      </c>
      <c r="O7" s="1" t="s">
        <v>18</v>
      </c>
      <c r="P7" s="1" t="s">
        <v>17</v>
      </c>
      <c r="Q7" s="1" t="s">
        <v>16</v>
      </c>
      <c r="V7" s="6"/>
      <c r="W7" s="14"/>
      <c r="X7" s="18" t="s">
        <v>30</v>
      </c>
      <c r="Y7" s="18">
        <f>Y6*(1-AD4)</f>
        <v>580.95132526445377</v>
      </c>
      <c r="Z7" s="18">
        <f>Z6</f>
        <v>636</v>
      </c>
      <c r="AA7" s="19">
        <v>160</v>
      </c>
      <c r="AB7" s="19">
        <v>153</v>
      </c>
      <c r="AC7" s="19">
        <v>148</v>
      </c>
      <c r="AD7" s="18">
        <v>157</v>
      </c>
      <c r="AE7" s="21">
        <v>152</v>
      </c>
      <c r="AF7" s="21">
        <v>155</v>
      </c>
      <c r="AG7" s="21">
        <v>164</v>
      </c>
      <c r="AH7" s="20"/>
    </row>
    <row r="8" spans="2:34" ht="15.75" thickBot="1" x14ac:dyDescent="0.3">
      <c r="B8" s="3">
        <v>5.6944444444444443E-2</v>
      </c>
      <c r="C8">
        <v>1192</v>
      </c>
      <c r="D8">
        <v>300</v>
      </c>
      <c r="E8">
        <v>160</v>
      </c>
      <c r="F8">
        <v>154</v>
      </c>
      <c r="G8">
        <v>153</v>
      </c>
      <c r="M8" s="2" t="s">
        <v>2</v>
      </c>
      <c r="N8" s="9">
        <v>273</v>
      </c>
      <c r="O8" s="10">
        <v>308</v>
      </c>
      <c r="P8" s="10">
        <v>309</v>
      </c>
      <c r="Q8" s="13">
        <v>300</v>
      </c>
      <c r="V8" s="6"/>
      <c r="W8" s="22"/>
      <c r="X8" s="30"/>
      <c r="Y8" s="24">
        <f>-((Z7/Y7)-1)</f>
        <v>-9.4756087716105331E-2</v>
      </c>
      <c r="Z8" s="25"/>
      <c r="AA8" s="26">
        <f>(1-AA4)*AA7</f>
        <v>147.69230769230771</v>
      </c>
      <c r="AB8" s="26">
        <f>(1-AB4)*AB7</f>
        <v>145.83612040133781</v>
      </c>
      <c r="AC8" s="26">
        <f>(1-AC4)*AC7</f>
        <v>141.73289902280129</v>
      </c>
      <c r="AD8" s="27"/>
      <c r="AE8" s="24">
        <f>(AE7/AC8)-1</f>
        <v>7.243978672550111E-2</v>
      </c>
      <c r="AF8" s="24">
        <f>(AF7/AB8)-1</f>
        <v>6.2836830638688168E-2</v>
      </c>
      <c r="AG8" s="24">
        <f>(AG7/AA8)-1</f>
        <v>0.11041666666666661</v>
      </c>
      <c r="AH8" s="28"/>
    </row>
    <row r="9" spans="2:34" ht="15.75" thickBot="1" x14ac:dyDescent="0.3">
      <c r="M9" s="2"/>
      <c r="N9" s="22"/>
      <c r="O9" s="25"/>
      <c r="P9" s="25"/>
      <c r="Q9" s="28"/>
      <c r="V9" s="6"/>
      <c r="W9" s="9"/>
      <c r="X9" s="10"/>
      <c r="Y9" s="10"/>
      <c r="Z9" s="10"/>
      <c r="AA9" s="11">
        <f>(AA11/AH11)-1</f>
        <v>0</v>
      </c>
      <c r="AB9" s="11">
        <f>(AB11/AG11)-1</f>
        <v>3.2894736842106198E-3</v>
      </c>
      <c r="AC9" s="11">
        <f>(AC11/AF11)-1</f>
        <v>1.2738853503184711E-2</v>
      </c>
      <c r="AD9" s="12">
        <f>AVERAGE(AA9:AC9)</f>
        <v>5.3427757291317768E-3</v>
      </c>
      <c r="AE9" s="10"/>
      <c r="AF9" s="10"/>
      <c r="AG9" s="10"/>
      <c r="AH9" s="13"/>
    </row>
    <row r="10" spans="2:34" x14ac:dyDescent="0.25">
      <c r="B10" s="2" t="s">
        <v>3</v>
      </c>
      <c r="C10" s="2" t="s">
        <v>4</v>
      </c>
      <c r="D10" s="2" t="s">
        <v>6</v>
      </c>
      <c r="E10" s="2" t="s">
        <v>5</v>
      </c>
      <c r="F10" s="2" t="s">
        <v>7</v>
      </c>
      <c r="G10" s="2" t="s">
        <v>8</v>
      </c>
      <c r="V10" s="6"/>
      <c r="W10" s="14" t="s">
        <v>38</v>
      </c>
      <c r="X10" s="15" t="s">
        <v>26</v>
      </c>
      <c r="Y10" s="15" t="s">
        <v>27</v>
      </c>
      <c r="Z10" s="15" t="s">
        <v>28</v>
      </c>
      <c r="AA10" s="15" t="s">
        <v>31</v>
      </c>
      <c r="AB10" s="15" t="s">
        <v>32</v>
      </c>
      <c r="AC10" s="15" t="s">
        <v>33</v>
      </c>
      <c r="AD10" s="16" t="s">
        <v>34</v>
      </c>
      <c r="AE10" s="16" t="s">
        <v>35</v>
      </c>
      <c r="AF10" s="15" t="s">
        <v>36</v>
      </c>
      <c r="AG10" s="15" t="s">
        <v>37</v>
      </c>
      <c r="AH10" s="17" t="s">
        <v>39</v>
      </c>
    </row>
    <row r="11" spans="2:34" x14ac:dyDescent="0.25">
      <c r="B11" s="3">
        <v>8.3333333333333329E-2</v>
      </c>
      <c r="C11">
        <v>1274</v>
      </c>
      <c r="D11">
        <v>313</v>
      </c>
      <c r="E11">
        <v>162</v>
      </c>
      <c r="F11">
        <v>153</v>
      </c>
      <c r="G11">
        <v>155</v>
      </c>
      <c r="V11" s="6"/>
      <c r="W11" s="14"/>
      <c r="X11" s="18" t="s">
        <v>29</v>
      </c>
      <c r="Y11" s="19">
        <v>638</v>
      </c>
      <c r="Z11" s="19">
        <v>625</v>
      </c>
      <c r="AA11" s="19">
        <v>265</v>
      </c>
      <c r="AB11" s="19">
        <v>305</v>
      </c>
      <c r="AC11" s="19">
        <v>318</v>
      </c>
      <c r="AD11" s="18">
        <v>318</v>
      </c>
      <c r="AE11" s="18">
        <v>318</v>
      </c>
      <c r="AF11" s="19">
        <v>314</v>
      </c>
      <c r="AG11" s="19">
        <v>304</v>
      </c>
      <c r="AH11" s="20">
        <v>265</v>
      </c>
    </row>
    <row r="12" spans="2:34" x14ac:dyDescent="0.25">
      <c r="B12" s="3">
        <v>0.10069444444444443</v>
      </c>
      <c r="C12">
        <v>1248</v>
      </c>
      <c r="D12">
        <v>316</v>
      </c>
      <c r="E12">
        <v>162</v>
      </c>
      <c r="F12">
        <v>154</v>
      </c>
      <c r="G12">
        <v>153</v>
      </c>
      <c r="V12" s="6"/>
      <c r="W12" s="14"/>
      <c r="X12" s="18" t="s">
        <v>30</v>
      </c>
      <c r="Y12" s="18">
        <f>Y11*(1-AD9)</f>
        <v>634.59130908481393</v>
      </c>
      <c r="Z12" s="18">
        <f>Z11</f>
        <v>625</v>
      </c>
      <c r="AA12" s="19">
        <v>165</v>
      </c>
      <c r="AB12" s="19">
        <v>156</v>
      </c>
      <c r="AC12" s="19">
        <v>155</v>
      </c>
      <c r="AD12" s="18">
        <v>159</v>
      </c>
      <c r="AE12" s="21">
        <v>147</v>
      </c>
      <c r="AF12" s="19">
        <v>152</v>
      </c>
      <c r="AG12" s="19">
        <v>165</v>
      </c>
      <c r="AH12" s="20"/>
    </row>
    <row r="13" spans="2:34" ht="15.75" thickBot="1" x14ac:dyDescent="0.3">
      <c r="B13" s="3">
        <v>0.1173611111111111</v>
      </c>
      <c r="C13">
        <v>1250</v>
      </c>
      <c r="D13">
        <v>315</v>
      </c>
      <c r="E13">
        <v>162</v>
      </c>
      <c r="F13">
        <v>152</v>
      </c>
      <c r="G13">
        <v>154</v>
      </c>
      <c r="V13" s="6"/>
      <c r="W13" s="22"/>
      <c r="X13" s="23"/>
      <c r="Y13" s="24">
        <f>(Z12/Y12)-1</f>
        <v>-1.5114151340405502E-2</v>
      </c>
      <c r="Z13" s="25"/>
      <c r="AA13" s="26">
        <f>(1-AA9)*AA12</f>
        <v>165</v>
      </c>
      <c r="AB13" s="26">
        <f>(1-AB9)*AB12</f>
        <v>155.48684210526315</v>
      </c>
      <c r="AC13" s="26">
        <f>(1-AC9)*AC12</f>
        <v>153.02547770700636</v>
      </c>
      <c r="AD13" s="27"/>
      <c r="AE13" s="24">
        <f>(AE12/AC13)-1</f>
        <v>-3.9375650364203874E-2</v>
      </c>
      <c r="AF13" s="24">
        <f>(AF12/AB13)-1</f>
        <v>-2.2425319455022352E-2</v>
      </c>
      <c r="AG13" s="24">
        <f>(AG12/AA13)-1</f>
        <v>0</v>
      </c>
      <c r="AH13" s="28"/>
    </row>
    <row r="14" spans="2:34" x14ac:dyDescent="0.25">
      <c r="B14" s="3">
        <v>0.14305555555555557</v>
      </c>
      <c r="C14">
        <v>1280</v>
      </c>
      <c r="D14">
        <v>317</v>
      </c>
      <c r="E14">
        <v>163</v>
      </c>
      <c r="F14">
        <v>154</v>
      </c>
      <c r="G14">
        <v>155</v>
      </c>
      <c r="V14" s="6"/>
      <c r="W14" s="9" t="s">
        <v>40</v>
      </c>
      <c r="X14" s="10"/>
      <c r="Y14" s="10"/>
      <c r="Z14" s="10"/>
      <c r="AA14" s="11">
        <f>(AA16/AH16)-1</f>
        <v>-1.4981273408239737E-2</v>
      </c>
      <c r="AB14" s="11">
        <f>(AB16/AG16)-1</f>
        <v>-1.655629139072845E-2</v>
      </c>
      <c r="AC14" s="11">
        <f>(AC16/AF16)-1</f>
        <v>-6.4308681672026191E-3</v>
      </c>
      <c r="AD14" s="12">
        <f>AVERAGE(AA14:AC14)</f>
        <v>-1.2656144322056936E-2</v>
      </c>
      <c r="AE14" s="10"/>
      <c r="AF14" s="10"/>
      <c r="AG14" s="10"/>
      <c r="AH14" s="13"/>
    </row>
    <row r="15" spans="2:34" x14ac:dyDescent="0.25">
      <c r="B15" s="3">
        <v>0.14652777777777778</v>
      </c>
      <c r="C15">
        <v>1256</v>
      </c>
      <c r="D15">
        <v>316</v>
      </c>
      <c r="E15">
        <v>163</v>
      </c>
      <c r="F15">
        <v>153</v>
      </c>
      <c r="G15">
        <v>152</v>
      </c>
      <c r="V15" s="6"/>
      <c r="W15" s="14"/>
      <c r="X15" s="15" t="s">
        <v>26</v>
      </c>
      <c r="Y15" s="15" t="s">
        <v>27</v>
      </c>
      <c r="Z15" s="15" t="s">
        <v>28</v>
      </c>
      <c r="AA15" s="15" t="s">
        <v>31</v>
      </c>
      <c r="AB15" s="15" t="s">
        <v>32</v>
      </c>
      <c r="AC15" s="15" t="s">
        <v>33</v>
      </c>
      <c r="AD15" s="16" t="s">
        <v>34</v>
      </c>
      <c r="AE15" s="16" t="s">
        <v>35</v>
      </c>
      <c r="AF15" s="15" t="s">
        <v>36</v>
      </c>
      <c r="AG15" s="15" t="s">
        <v>37</v>
      </c>
      <c r="AH15" s="17" t="s">
        <v>39</v>
      </c>
    </row>
    <row r="16" spans="2:34" x14ac:dyDescent="0.25">
      <c r="V16" s="6"/>
      <c r="W16" s="14"/>
      <c r="X16" s="18" t="s">
        <v>29</v>
      </c>
      <c r="Y16" s="19">
        <v>635</v>
      </c>
      <c r="Z16" s="19">
        <v>629</v>
      </c>
      <c r="AA16" s="19">
        <v>263</v>
      </c>
      <c r="AB16" s="19">
        <v>297</v>
      </c>
      <c r="AC16" s="19">
        <v>309</v>
      </c>
      <c r="AD16" s="18">
        <v>313</v>
      </c>
      <c r="AE16" s="18">
        <v>311</v>
      </c>
      <c r="AF16" s="19">
        <v>311</v>
      </c>
      <c r="AG16" s="19">
        <v>302</v>
      </c>
      <c r="AH16" s="20">
        <v>267</v>
      </c>
    </row>
    <row r="17" spans="1:40" x14ac:dyDescent="0.25">
      <c r="E17" s="5"/>
      <c r="F17" s="5"/>
      <c r="G17" s="5"/>
      <c r="V17" s="6"/>
      <c r="W17" s="14"/>
      <c r="X17" s="18" t="s">
        <v>30</v>
      </c>
      <c r="Y17" s="18">
        <f>Y16*(1-AD14)</f>
        <v>643.03665164450615</v>
      </c>
      <c r="Z17" s="18">
        <f>Z16</f>
        <v>629</v>
      </c>
      <c r="AA17" s="19">
        <v>161</v>
      </c>
      <c r="AB17" s="19">
        <v>159</v>
      </c>
      <c r="AC17" s="19">
        <v>156</v>
      </c>
      <c r="AD17" s="18">
        <v>161</v>
      </c>
      <c r="AE17" s="21">
        <v>149</v>
      </c>
      <c r="AF17" s="19">
        <v>154</v>
      </c>
      <c r="AG17" s="19">
        <v>165</v>
      </c>
      <c r="AH17" s="20"/>
    </row>
    <row r="18" spans="1:40" ht="15.75" thickBot="1" x14ac:dyDescent="0.3">
      <c r="B18" s="1" t="s">
        <v>0</v>
      </c>
      <c r="E18" s="5"/>
      <c r="F18" s="5"/>
      <c r="G18" s="5"/>
      <c r="V18" s="6"/>
      <c r="W18" s="22"/>
      <c r="X18" s="25"/>
      <c r="Y18" s="24">
        <f>(Z17/Y17)-1</f>
        <v>-2.18286960915971E-2</v>
      </c>
      <c r="Z18" s="25"/>
      <c r="AA18" s="26">
        <f>(1-AA14)*AA17</f>
        <v>163.4119850187266</v>
      </c>
      <c r="AB18" s="26">
        <f>(1-AB14)*AB17</f>
        <v>161.63245033112582</v>
      </c>
      <c r="AC18" s="26">
        <f>(1-AC14)*AC17</f>
        <v>157.00321543408359</v>
      </c>
      <c r="AD18" s="27"/>
      <c r="AE18" s="24">
        <f>(AE17/AC18)-1</f>
        <v>-5.097485049561723E-2</v>
      </c>
      <c r="AF18" s="24">
        <f>(AF17/AB18)-1</f>
        <v>-4.7221027185380904E-2</v>
      </c>
      <c r="AG18" s="24">
        <f>(AG17/AA18)-1</f>
        <v>9.7178611537667159E-3</v>
      </c>
      <c r="AH18" s="28"/>
    </row>
    <row r="19" spans="1:40" x14ac:dyDescent="0.25">
      <c r="E19" s="5"/>
      <c r="F19" s="5"/>
      <c r="G19" s="5"/>
      <c r="V19" s="6"/>
      <c r="W19" s="9" t="s">
        <v>41</v>
      </c>
      <c r="X19" s="10"/>
      <c r="Y19" s="10"/>
      <c r="Z19" s="10"/>
      <c r="AA19" s="11">
        <f>(AA21/AH21)-1</f>
        <v>-2.9739776951672847E-2</v>
      </c>
      <c r="AB19" s="11">
        <f>(AB21/AG21)-1</f>
        <v>-3.2679738562091498E-2</v>
      </c>
      <c r="AC19" s="11">
        <f>(AC21/AF21)-1</f>
        <v>-1.2820512820512775E-2</v>
      </c>
      <c r="AD19" s="12">
        <f>AVERAGE(AA19:AC19)</f>
        <v>-2.5080009444759039E-2</v>
      </c>
      <c r="AE19" s="10"/>
      <c r="AF19" s="10"/>
      <c r="AG19" s="10"/>
      <c r="AH19" s="13"/>
    </row>
    <row r="20" spans="1:40" x14ac:dyDescent="0.25">
      <c r="B20" s="2" t="s">
        <v>2</v>
      </c>
      <c r="C20" s="2" t="s">
        <v>4</v>
      </c>
      <c r="D20" s="2" t="s">
        <v>6</v>
      </c>
      <c r="E20" s="2" t="s">
        <v>5</v>
      </c>
      <c r="F20" s="2" t="s">
        <v>7</v>
      </c>
      <c r="G20" s="2" t="s">
        <v>8</v>
      </c>
      <c r="H20" s="2" t="s">
        <v>14</v>
      </c>
      <c r="V20" s="6"/>
      <c r="W20" s="14"/>
      <c r="X20" s="15" t="s">
        <v>26</v>
      </c>
      <c r="Y20" s="15" t="s">
        <v>27</v>
      </c>
      <c r="Z20" s="15" t="s">
        <v>28</v>
      </c>
      <c r="AA20" s="15" t="s">
        <v>31</v>
      </c>
      <c r="AB20" s="15" t="s">
        <v>32</v>
      </c>
      <c r="AC20" s="15" t="s">
        <v>33</v>
      </c>
      <c r="AD20" s="16" t="s">
        <v>34</v>
      </c>
      <c r="AE20" s="16" t="s">
        <v>35</v>
      </c>
      <c r="AF20" s="15" t="s">
        <v>36</v>
      </c>
      <c r="AG20" s="15" t="s">
        <v>37</v>
      </c>
      <c r="AH20" s="17" t="s">
        <v>39</v>
      </c>
    </row>
    <row r="21" spans="1:40" x14ac:dyDescent="0.25">
      <c r="B21" s="3">
        <v>1.4583333333333332E-2</v>
      </c>
      <c r="C21">
        <v>1190</v>
      </c>
      <c r="D21">
        <v>313</v>
      </c>
      <c r="E21">
        <v>159</v>
      </c>
      <c r="F21">
        <v>155</v>
      </c>
      <c r="G21">
        <v>154</v>
      </c>
      <c r="V21" s="6"/>
      <c r="W21" s="14"/>
      <c r="X21" s="18" t="s">
        <v>29</v>
      </c>
      <c r="Y21" s="19">
        <v>640</v>
      </c>
      <c r="Z21" s="19">
        <v>617</v>
      </c>
      <c r="AA21" s="19">
        <v>261</v>
      </c>
      <c r="AB21" s="19">
        <v>296</v>
      </c>
      <c r="AC21" s="19">
        <v>308</v>
      </c>
      <c r="AD21" s="18">
        <v>308</v>
      </c>
      <c r="AE21" s="18">
        <v>309</v>
      </c>
      <c r="AF21" s="19">
        <v>312</v>
      </c>
      <c r="AG21" s="19">
        <v>306</v>
      </c>
      <c r="AH21" s="20">
        <v>269</v>
      </c>
    </row>
    <row r="22" spans="1:40" x14ac:dyDescent="0.25">
      <c r="B22" s="3">
        <v>3.125E-2</v>
      </c>
      <c r="C22">
        <v>1170</v>
      </c>
      <c r="D22">
        <v>304</v>
      </c>
      <c r="E22">
        <v>158</v>
      </c>
      <c r="F22">
        <v>154</v>
      </c>
      <c r="G22">
        <v>153</v>
      </c>
      <c r="H22">
        <v>265</v>
      </c>
      <c r="V22" s="6"/>
      <c r="W22" s="14"/>
      <c r="X22" s="18" t="s">
        <v>30</v>
      </c>
      <c r="Y22" s="18">
        <f>Y21*(1-AD19)</f>
        <v>656.05120604464571</v>
      </c>
      <c r="Z22" s="18">
        <f>Z21</f>
        <v>617</v>
      </c>
      <c r="AA22" s="19">
        <v>163</v>
      </c>
      <c r="AB22" s="19">
        <v>158</v>
      </c>
      <c r="AC22" s="19">
        <v>154</v>
      </c>
      <c r="AD22" s="18">
        <v>158</v>
      </c>
      <c r="AE22" s="21">
        <v>147</v>
      </c>
      <c r="AF22" s="21">
        <v>152</v>
      </c>
      <c r="AG22" s="21">
        <v>158</v>
      </c>
      <c r="AH22" s="20"/>
    </row>
    <row r="23" spans="1:40" ht="15.75" thickBot="1" x14ac:dyDescent="0.3">
      <c r="V23" s="6"/>
      <c r="W23" s="22"/>
      <c r="X23" s="25"/>
      <c r="Y23" s="24">
        <f>(Z22/Y22)-1</f>
        <v>-5.9524631133729189E-2</v>
      </c>
      <c r="Z23" s="25"/>
      <c r="AA23" s="26">
        <f>(1-AA19)*AA22</f>
        <v>167.8475836431227</v>
      </c>
      <c r="AB23" s="26">
        <f>(1-AB19)*AB22</f>
        <v>163.16339869281043</v>
      </c>
      <c r="AC23" s="26">
        <f>(1-AC19)*AC22</f>
        <v>155.97435897435898</v>
      </c>
      <c r="AD23" s="27"/>
      <c r="AE23" s="24">
        <f>(AE22/AC23)-1</f>
        <v>-5.7537399309551263E-2</v>
      </c>
      <c r="AF23" s="24">
        <f>(AF22/AB23)-1</f>
        <v>-6.8418522672648474E-2</v>
      </c>
      <c r="AG23" s="24">
        <f>(AG22/AA23)-1</f>
        <v>-5.8669796903723204E-2</v>
      </c>
      <c r="AH23" s="28"/>
    </row>
    <row r="24" spans="1:40" x14ac:dyDescent="0.25">
      <c r="P24">
        <v>1170</v>
      </c>
      <c r="V24" s="6"/>
    </row>
    <row r="25" spans="1:40" x14ac:dyDescent="0.25">
      <c r="B25" s="2" t="s">
        <v>3</v>
      </c>
      <c r="C25" s="2" t="s">
        <v>4</v>
      </c>
      <c r="D25" s="2" t="s">
        <v>6</v>
      </c>
      <c r="E25" s="2" t="s">
        <v>5</v>
      </c>
      <c r="F25" s="2" t="s">
        <v>7</v>
      </c>
      <c r="G25" s="2" t="s">
        <v>8</v>
      </c>
      <c r="H25" s="2" t="s">
        <v>14</v>
      </c>
      <c r="O25">
        <f>318/304</f>
        <v>1.0460526315789473</v>
      </c>
      <c r="P25">
        <f>O25*C27</f>
        <v>1353.5921052631579</v>
      </c>
      <c r="V25" s="6"/>
    </row>
    <row r="26" spans="1:40" ht="15.75" thickBot="1" x14ac:dyDescent="0.3">
      <c r="A26" t="s">
        <v>12</v>
      </c>
      <c r="B26" s="3">
        <v>4.8611111111111112E-3</v>
      </c>
      <c r="C26">
        <v>1250</v>
      </c>
      <c r="D26">
        <v>316</v>
      </c>
      <c r="E26">
        <v>163</v>
      </c>
      <c r="F26">
        <v>153</v>
      </c>
      <c r="G26">
        <v>153</v>
      </c>
      <c r="P26" s="4">
        <f>P25/P24 -1</f>
        <v>0.15691632928475041</v>
      </c>
      <c r="Q26" t="s">
        <v>13</v>
      </c>
      <c r="V26" s="6"/>
      <c r="X26" s="1" t="s">
        <v>1</v>
      </c>
      <c r="AE26" s="8">
        <f>(1+AC27)*AE30</f>
        <v>158.25316455696202</v>
      </c>
      <c r="AF26" s="8">
        <f>(1+AB27)*AF30</f>
        <v>160</v>
      </c>
      <c r="AG26" s="8">
        <f>(1+AA27)*AG30</f>
        <v>168.42105263157893</v>
      </c>
    </row>
    <row r="27" spans="1:40" x14ac:dyDescent="0.25">
      <c r="B27" s="3">
        <v>7.9166666666666663E-2</v>
      </c>
      <c r="C27">
        <v>1294</v>
      </c>
      <c r="D27">
        <v>318</v>
      </c>
      <c r="E27">
        <v>163</v>
      </c>
      <c r="F27">
        <v>155</v>
      </c>
      <c r="G27">
        <v>154</v>
      </c>
      <c r="H27">
        <v>275</v>
      </c>
      <c r="O27">
        <f>(7250/10050)*(O25-1)+1</f>
        <v>1.0332220476564546</v>
      </c>
      <c r="P27">
        <f>O27*C27</f>
        <v>1336.9893296674522</v>
      </c>
      <c r="V27" s="6"/>
      <c r="W27" s="9" t="s">
        <v>44</v>
      </c>
      <c r="X27" s="10"/>
      <c r="Y27" s="10"/>
      <c r="Z27" s="10"/>
      <c r="AA27" s="11">
        <f>(AA29/AH29)-1</f>
        <v>5.2631578947368363E-2</v>
      </c>
      <c r="AB27" s="11">
        <f>(AB29/AG29)-1</f>
        <v>3.2258064516129004E-2</v>
      </c>
      <c r="AC27" s="11">
        <f>(AC29/AF29)-1</f>
        <v>4.1139240506329111E-2</v>
      </c>
      <c r="AD27" s="12">
        <f>AVERAGE(AA27:AC27)</f>
        <v>4.2009627989942157E-2</v>
      </c>
      <c r="AE27" s="11"/>
      <c r="AF27" s="11"/>
      <c r="AG27" s="11"/>
      <c r="AH27" s="29"/>
    </row>
    <row r="28" spans="1:40" x14ac:dyDescent="0.25">
      <c r="B28" s="3">
        <v>0.12222222222222223</v>
      </c>
      <c r="C28">
        <v>1227</v>
      </c>
      <c r="D28">
        <v>307</v>
      </c>
      <c r="E28">
        <v>159</v>
      </c>
      <c r="F28">
        <v>152</v>
      </c>
      <c r="G28">
        <v>152</v>
      </c>
      <c r="P28" s="4">
        <f>P27/P24-1</f>
        <v>0.14272592279269425</v>
      </c>
      <c r="V28" s="6"/>
      <c r="W28" s="14"/>
      <c r="X28" s="15" t="s">
        <v>25</v>
      </c>
      <c r="Y28" s="15" t="s">
        <v>27</v>
      </c>
      <c r="Z28" s="15" t="s">
        <v>28</v>
      </c>
      <c r="AA28" s="15" t="s">
        <v>31</v>
      </c>
      <c r="AB28" s="15" t="s">
        <v>32</v>
      </c>
      <c r="AC28" s="15" t="s">
        <v>33</v>
      </c>
      <c r="AD28" s="16" t="s">
        <v>34</v>
      </c>
      <c r="AE28" s="16" t="s">
        <v>35</v>
      </c>
      <c r="AF28" s="15" t="s">
        <v>36</v>
      </c>
      <c r="AG28" s="15" t="s">
        <v>37</v>
      </c>
      <c r="AH28" s="17" t="s">
        <v>39</v>
      </c>
    </row>
    <row r="29" spans="1:40" x14ac:dyDescent="0.25">
      <c r="V29" s="6"/>
      <c r="W29" s="14"/>
      <c r="X29" s="18" t="s">
        <v>29</v>
      </c>
      <c r="Y29" s="19">
        <v>604</v>
      </c>
      <c r="Z29" s="19">
        <v>627</v>
      </c>
      <c r="AA29" s="19">
        <v>280</v>
      </c>
      <c r="AB29" s="31">
        <v>320</v>
      </c>
      <c r="AC29" s="31">
        <v>329</v>
      </c>
      <c r="AD29" s="18">
        <v>321</v>
      </c>
      <c r="AE29" s="18">
        <v>314</v>
      </c>
      <c r="AF29" s="31">
        <v>316</v>
      </c>
      <c r="AG29" s="31">
        <v>310</v>
      </c>
      <c r="AH29" s="20">
        <v>266</v>
      </c>
    </row>
    <row r="30" spans="1:40" ht="15.75" thickBot="1" x14ac:dyDescent="0.3">
      <c r="V30" s="6"/>
      <c r="W30" s="14"/>
      <c r="X30" s="18" t="s">
        <v>30</v>
      </c>
      <c r="Y30" s="18">
        <f>Y29*(1-AD27)</f>
        <v>578.62618469407494</v>
      </c>
      <c r="Z30" s="18">
        <f>Z29</f>
        <v>627</v>
      </c>
      <c r="AA30" s="19">
        <v>164</v>
      </c>
      <c r="AB30" s="19">
        <v>153</v>
      </c>
      <c r="AC30" s="19">
        <v>150</v>
      </c>
      <c r="AD30" s="18">
        <v>156</v>
      </c>
      <c r="AE30" s="32">
        <v>152</v>
      </c>
      <c r="AF30" s="32">
        <v>155</v>
      </c>
      <c r="AG30" s="32">
        <v>160</v>
      </c>
      <c r="AH30" s="20"/>
    </row>
    <row r="31" spans="1:40" ht="15.75" thickBot="1" x14ac:dyDescent="0.3">
      <c r="N31">
        <v>1294</v>
      </c>
      <c r="O31">
        <f>O25*C22</f>
        <v>1223.8815789473683</v>
      </c>
      <c r="P31">
        <f>N31/O31</f>
        <v>1.0572918346503253</v>
      </c>
      <c r="V31" s="6"/>
      <c r="W31" s="22"/>
      <c r="X31" s="30"/>
      <c r="Y31" s="24">
        <f>-((Z30/Y30)-1)</f>
        <v>-8.3601151461026202E-2</v>
      </c>
      <c r="Z31" s="25"/>
      <c r="AA31" s="26">
        <f>(1-AA27)*AA30</f>
        <v>155.36842105263159</v>
      </c>
      <c r="AB31" s="26">
        <f>(1-AB27)*AB30</f>
        <v>148.06451612903226</v>
      </c>
      <c r="AC31" s="26">
        <f>(1-AC27)*AC30</f>
        <v>143.82911392405063</v>
      </c>
      <c r="AD31" s="27"/>
      <c r="AE31" s="24">
        <f>(AE30/AC31)-1</f>
        <v>5.6809680968096909E-2</v>
      </c>
      <c r="AF31" s="24">
        <f>(AF30/AB31)-1</f>
        <v>4.6840958605664396E-2</v>
      </c>
      <c r="AG31" s="24">
        <f>(AG30/AA31)-1</f>
        <v>2.9810298102980859E-2</v>
      </c>
      <c r="AH31" s="28"/>
      <c r="AJ31" s="72" t="s">
        <v>84</v>
      </c>
      <c r="AK31" s="73" t="s">
        <v>16</v>
      </c>
      <c r="AL31" s="73" t="s">
        <v>17</v>
      </c>
      <c r="AM31" s="73" t="s">
        <v>18</v>
      </c>
      <c r="AN31" s="74" t="s">
        <v>19</v>
      </c>
    </row>
    <row r="32" spans="1:40" x14ac:dyDescent="0.25">
      <c r="V32" s="6"/>
      <c r="W32" s="9"/>
      <c r="X32" s="10"/>
      <c r="Y32" s="10"/>
      <c r="Z32" s="10"/>
      <c r="AA32" s="11">
        <f>(AA34/AH34)-1</f>
        <v>-3.2967032967032961E-2</v>
      </c>
      <c r="AB32" s="11">
        <f>(AB34/AG34)-1</f>
        <v>-3.1847133757961776E-3</v>
      </c>
      <c r="AC32" s="11">
        <f>(AC34/AF34)-1</f>
        <v>-3.1250000000000444E-3</v>
      </c>
      <c r="AD32" s="12">
        <f>AVERAGE(AA32:AC32)</f>
        <v>-1.3092248780943061E-2</v>
      </c>
      <c r="AE32" s="10"/>
      <c r="AF32" s="10"/>
      <c r="AG32" s="10"/>
      <c r="AH32" s="13"/>
      <c r="AJ32" s="75"/>
      <c r="AK32" s="76"/>
      <c r="AL32" s="76"/>
      <c r="AM32" s="76"/>
      <c r="AN32" s="77"/>
    </row>
    <row r="33" spans="2:40" x14ac:dyDescent="0.25">
      <c r="V33" s="6"/>
      <c r="W33" s="14" t="s">
        <v>43</v>
      </c>
      <c r="X33" s="15" t="s">
        <v>26</v>
      </c>
      <c r="Y33" s="15" t="s">
        <v>27</v>
      </c>
      <c r="Z33" s="15" t="s">
        <v>28</v>
      </c>
      <c r="AA33" s="15" t="s">
        <v>31</v>
      </c>
      <c r="AB33" s="15" t="s">
        <v>32</v>
      </c>
      <c r="AC33" s="15" t="s">
        <v>33</v>
      </c>
      <c r="AD33" s="16" t="s">
        <v>34</v>
      </c>
      <c r="AE33" s="16" t="s">
        <v>35</v>
      </c>
      <c r="AF33" s="15" t="s">
        <v>36</v>
      </c>
      <c r="AG33" s="15" t="s">
        <v>37</v>
      </c>
      <c r="AH33" s="17" t="s">
        <v>39</v>
      </c>
      <c r="AJ33" s="80" t="s">
        <v>2</v>
      </c>
      <c r="AK33" s="76">
        <v>273</v>
      </c>
      <c r="AL33" s="76">
        <v>307</v>
      </c>
      <c r="AM33" s="76">
        <v>307</v>
      </c>
      <c r="AN33" s="77">
        <v>300</v>
      </c>
    </row>
    <row r="34" spans="2:40" x14ac:dyDescent="0.25">
      <c r="B34" s="1" t="s">
        <v>15</v>
      </c>
      <c r="C34" s="1"/>
      <c r="D34" s="1"/>
      <c r="E34" s="1"/>
      <c r="F34" s="1"/>
      <c r="G34" s="1"/>
      <c r="H34" s="1"/>
      <c r="P34" s="2" t="s">
        <v>62</v>
      </c>
      <c r="Q34" s="2"/>
      <c r="R34" s="2"/>
      <c r="S34" s="2" t="s">
        <v>61</v>
      </c>
      <c r="V34" s="6"/>
      <c r="W34" s="14"/>
      <c r="X34" s="18" t="s">
        <v>29</v>
      </c>
      <c r="Y34" s="19">
        <v>604</v>
      </c>
      <c r="Z34" s="19">
        <v>602</v>
      </c>
      <c r="AA34" s="19">
        <v>264</v>
      </c>
      <c r="AB34" s="19">
        <v>313</v>
      </c>
      <c r="AC34" s="19">
        <v>319</v>
      </c>
      <c r="AD34" s="18">
        <v>312</v>
      </c>
      <c r="AE34" s="18">
        <v>322</v>
      </c>
      <c r="AF34" s="19">
        <v>320</v>
      </c>
      <c r="AG34" s="19">
        <v>314</v>
      </c>
      <c r="AH34" s="20">
        <v>273</v>
      </c>
      <c r="AJ34" s="80" t="s">
        <v>3</v>
      </c>
      <c r="AK34" s="76">
        <f>(285+253)/2</f>
        <v>269</v>
      </c>
      <c r="AL34" s="76">
        <v>309</v>
      </c>
      <c r="AM34" s="76">
        <v>315</v>
      </c>
      <c r="AN34" s="77">
        <v>317</v>
      </c>
    </row>
    <row r="35" spans="2:40" ht="15.75" thickBot="1" x14ac:dyDescent="0.3">
      <c r="B35" s="1" t="s">
        <v>1</v>
      </c>
      <c r="C35" s="1" t="s">
        <v>71</v>
      </c>
      <c r="D35" s="1" t="s">
        <v>4</v>
      </c>
      <c r="E35" s="1" t="s">
        <v>5</v>
      </c>
      <c r="F35" s="1" t="s">
        <v>7</v>
      </c>
      <c r="G35" s="1" t="s">
        <v>8</v>
      </c>
      <c r="H35" s="1" t="s">
        <v>20</v>
      </c>
      <c r="I35" s="1" t="s">
        <v>90</v>
      </c>
      <c r="J35" s="1" t="s">
        <v>91</v>
      </c>
      <c r="M35" s="1"/>
      <c r="P35" s="1" t="s">
        <v>19</v>
      </c>
      <c r="Q35" s="1" t="s">
        <v>18</v>
      </c>
      <c r="R35" s="1" t="s">
        <v>17</v>
      </c>
      <c r="S35" s="1" t="s">
        <v>16</v>
      </c>
      <c r="V35" s="6"/>
      <c r="W35" s="14"/>
      <c r="X35" s="18" t="s">
        <v>30</v>
      </c>
      <c r="Y35" s="18">
        <f>Y34*(1-AD32)</f>
        <v>611.90771826368962</v>
      </c>
      <c r="Z35" s="18">
        <f>Z34</f>
        <v>602</v>
      </c>
      <c r="AA35" s="19">
        <v>163</v>
      </c>
      <c r="AB35" s="19">
        <v>158</v>
      </c>
      <c r="AC35" s="19">
        <v>148</v>
      </c>
      <c r="AD35" s="18">
        <v>155</v>
      </c>
      <c r="AE35" s="21">
        <v>148</v>
      </c>
      <c r="AF35" s="21">
        <v>148</v>
      </c>
      <c r="AG35" s="21">
        <v>155</v>
      </c>
      <c r="AH35" s="20"/>
      <c r="AJ35" s="75"/>
      <c r="AK35" s="76"/>
      <c r="AL35" s="76"/>
      <c r="AM35" s="76"/>
      <c r="AN35" s="77"/>
    </row>
    <row r="36" spans="2:40" ht="15.75" thickBot="1" x14ac:dyDescent="0.3">
      <c r="B36" s="2" t="s">
        <v>2</v>
      </c>
      <c r="C36" s="50">
        <v>5.6944444444444443E-2</v>
      </c>
      <c r="D36" s="10">
        <v>1192</v>
      </c>
      <c r="E36" s="10">
        <v>160</v>
      </c>
      <c r="F36" s="10">
        <v>154</v>
      </c>
      <c r="G36" s="10">
        <v>153</v>
      </c>
      <c r="H36" s="13">
        <v>144</v>
      </c>
      <c r="I36" t="s">
        <v>92</v>
      </c>
      <c r="J36" t="s">
        <v>93</v>
      </c>
      <c r="O36" s="2" t="s">
        <v>2</v>
      </c>
      <c r="P36" s="9">
        <v>273</v>
      </c>
      <c r="Q36" s="10">
        <v>308</v>
      </c>
      <c r="R36" s="10">
        <v>309</v>
      </c>
      <c r="S36" s="13">
        <v>300</v>
      </c>
      <c r="V36" s="6"/>
      <c r="W36" s="22"/>
      <c r="X36" s="23"/>
      <c r="Y36" s="24">
        <f>(Z35/Y35)-1</f>
        <v>-1.619152360392373E-2</v>
      </c>
      <c r="Z36" s="25"/>
      <c r="AA36" s="26">
        <f>(1-AA32)*AA35</f>
        <v>168.37362637362637</v>
      </c>
      <c r="AB36" s="26">
        <f>(1-AB32)*AB35</f>
        <v>158.50318471337582</v>
      </c>
      <c r="AC36" s="26">
        <f>(1-AC32)*AC35</f>
        <v>148.46250000000001</v>
      </c>
      <c r="AD36" s="27"/>
      <c r="AE36" s="24">
        <f>(AE35/AC36)-1</f>
        <v>-3.1152647975077885E-3</v>
      </c>
      <c r="AF36" s="24">
        <f>(AF35/AB36)-1</f>
        <v>-6.6264818163552452E-2</v>
      </c>
      <c r="AG36" s="24">
        <f>(AG35/AA36)-1</f>
        <v>-7.9428273071400546E-2</v>
      </c>
      <c r="AH36" s="28"/>
      <c r="AJ36" s="80" t="s">
        <v>2</v>
      </c>
      <c r="AK36" s="76">
        <v>265</v>
      </c>
      <c r="AL36" s="76">
        <v>310</v>
      </c>
      <c r="AM36" s="76">
        <v>312</v>
      </c>
      <c r="AN36" s="77">
        <v>304</v>
      </c>
    </row>
    <row r="37" spans="2:40" ht="15.75" thickBot="1" x14ac:dyDescent="0.3">
      <c r="B37" s="2" t="s">
        <v>3</v>
      </c>
      <c r="C37" s="51">
        <v>0.14305555555555557</v>
      </c>
      <c r="D37" s="25">
        <v>1280</v>
      </c>
      <c r="E37" s="25">
        <v>163</v>
      </c>
      <c r="F37" s="25">
        <v>154</v>
      </c>
      <c r="G37" s="25">
        <v>155</v>
      </c>
      <c r="H37" s="28">
        <v>164</v>
      </c>
      <c r="I37" t="s">
        <v>94</v>
      </c>
      <c r="J37" t="s">
        <v>95</v>
      </c>
      <c r="O37" s="2" t="s">
        <v>3</v>
      </c>
      <c r="P37" s="22">
        <f>(285+253)/2</f>
        <v>269</v>
      </c>
      <c r="Q37" s="25">
        <v>309</v>
      </c>
      <c r="R37" s="25">
        <v>315</v>
      </c>
      <c r="S37" s="28">
        <v>317</v>
      </c>
      <c r="V37" s="6"/>
      <c r="X37" s="36"/>
      <c r="Y37" s="36"/>
      <c r="Z37" s="36"/>
      <c r="AA37" s="37"/>
      <c r="AB37" s="37"/>
      <c r="AC37" s="37"/>
      <c r="AD37" s="37"/>
      <c r="AE37" s="36"/>
      <c r="AF37" s="36"/>
      <c r="AG37" s="36"/>
      <c r="AH37" s="36"/>
      <c r="AJ37" s="81" t="s">
        <v>3</v>
      </c>
      <c r="AK37" s="78">
        <v>275</v>
      </c>
      <c r="AL37" s="78">
        <v>303</v>
      </c>
      <c r="AM37" s="78">
        <v>316</v>
      </c>
      <c r="AN37" s="79">
        <v>318</v>
      </c>
    </row>
    <row r="38" spans="2:40" x14ac:dyDescent="0.25">
      <c r="P38">
        <f>P37/P36</f>
        <v>0.9853479853479854</v>
      </c>
      <c r="Q38">
        <f>Q37/Q36</f>
        <v>1.0032467532467533</v>
      </c>
      <c r="R38">
        <f>R37/R36</f>
        <v>1.0194174757281553</v>
      </c>
      <c r="S38">
        <f>S37/S36</f>
        <v>1.0566666666666666</v>
      </c>
      <c r="V38" s="6"/>
      <c r="AA38" s="2" t="s">
        <v>75</v>
      </c>
      <c r="AE38" s="2" t="s">
        <v>76</v>
      </c>
    </row>
    <row r="39" spans="2:40" ht="15.75" thickBot="1" x14ac:dyDescent="0.3">
      <c r="B39" s="1" t="s">
        <v>0</v>
      </c>
      <c r="C39" s="1" t="s">
        <v>71</v>
      </c>
      <c r="D39" s="1" t="s">
        <v>4</v>
      </c>
      <c r="E39" s="1" t="s">
        <v>5</v>
      </c>
      <c r="F39" s="1" t="s">
        <v>7</v>
      </c>
      <c r="G39" s="1" t="s">
        <v>8</v>
      </c>
      <c r="H39" s="1" t="s">
        <v>20</v>
      </c>
      <c r="V39" s="6"/>
      <c r="AA39" s="2" t="s">
        <v>31</v>
      </c>
      <c r="AB39" s="2" t="s">
        <v>32</v>
      </c>
      <c r="AC39" s="2" t="s">
        <v>33</v>
      </c>
      <c r="AD39" s="5" t="s">
        <v>34</v>
      </c>
      <c r="AE39" s="2" t="s">
        <v>35</v>
      </c>
      <c r="AF39" s="2" t="s">
        <v>36</v>
      </c>
      <c r="AG39" s="2" t="s">
        <v>37</v>
      </c>
      <c r="AK39" s="41" t="s">
        <v>45</v>
      </c>
      <c r="AN39" t="s">
        <v>46</v>
      </c>
    </row>
    <row r="40" spans="2:40" ht="15.75" thickBot="1" x14ac:dyDescent="0.3">
      <c r="B40" s="2" t="s">
        <v>2</v>
      </c>
      <c r="C40" s="50">
        <v>3.125E-2</v>
      </c>
      <c r="D40" s="10">
        <v>1170</v>
      </c>
      <c r="E40" s="10">
        <v>158</v>
      </c>
      <c r="F40" s="10">
        <v>154</v>
      </c>
      <c r="G40" s="10">
        <v>153</v>
      </c>
      <c r="H40" s="13">
        <v>139</v>
      </c>
      <c r="I40" t="s">
        <v>96</v>
      </c>
      <c r="J40" t="s">
        <v>97</v>
      </c>
      <c r="O40" s="2" t="s">
        <v>2</v>
      </c>
      <c r="P40" s="9">
        <v>265</v>
      </c>
      <c r="Q40" s="10">
        <v>310</v>
      </c>
      <c r="R40" s="10">
        <v>312</v>
      </c>
      <c r="S40" s="13">
        <v>304</v>
      </c>
      <c r="V40" s="6"/>
      <c r="W40" s="2" t="s">
        <v>74</v>
      </c>
      <c r="X40" s="34"/>
      <c r="Y40" s="38"/>
      <c r="Z40" s="34"/>
      <c r="AA40" s="62">
        <f>AVERAGE(AA17,AA22,AA35,AG7,AG30,AA12)*0.98</f>
        <v>159.41333333333333</v>
      </c>
      <c r="AB40" s="63">
        <f>AVERAGE(AB17,AB22,AB35,AF7,AF30,AB12)*0.98</f>
        <v>153.69666666666669</v>
      </c>
      <c r="AC40" s="63">
        <f>AVERAGE(AC17,AC22,AC35,AE7,AE30,AC12)*0.98</f>
        <v>149.77666666666667</v>
      </c>
      <c r="AD40" s="64">
        <f>AVERAGE(AD17,AD22,AD35,AD7,AD30,AD12)*0.98</f>
        <v>154.51333333333332</v>
      </c>
      <c r="AE40" s="63">
        <f>AVERAGE(AE17,AE22,AE35,AC7,AC30,AE12)*0.98</f>
        <v>145.20333333333332</v>
      </c>
      <c r="AF40" s="63">
        <f>AVERAGE(AF17,AF22,AF35,AB7,AB30,AF12)*0.98</f>
        <v>148.96</v>
      </c>
      <c r="AG40" s="65">
        <f>AVERAGE(AG17,AG22,AG35,AA7,AA30,AG12)*0.98</f>
        <v>157.94333333333333</v>
      </c>
      <c r="AK40" t="s">
        <v>16</v>
      </c>
      <c r="AL40" t="s">
        <v>17</v>
      </c>
      <c r="AM40" t="s">
        <v>18</v>
      </c>
      <c r="AN40" t="s">
        <v>19</v>
      </c>
    </row>
    <row r="41" spans="2:40" ht="15.75" thickBot="1" x14ac:dyDescent="0.3">
      <c r="B41" s="2" t="s">
        <v>3</v>
      </c>
      <c r="C41" s="51">
        <v>7.9166666666666663E-2</v>
      </c>
      <c r="D41" s="25">
        <v>1294</v>
      </c>
      <c r="E41" s="25">
        <v>163</v>
      </c>
      <c r="F41" s="25">
        <v>155</v>
      </c>
      <c r="G41" s="25">
        <v>154</v>
      </c>
      <c r="H41" s="28">
        <f>(173+164)/2</f>
        <v>168.5</v>
      </c>
      <c r="I41" t="s">
        <v>98</v>
      </c>
      <c r="J41" t="s">
        <v>99</v>
      </c>
      <c r="O41" s="2" t="s">
        <v>3</v>
      </c>
      <c r="P41" s="22">
        <v>275</v>
      </c>
      <c r="Q41" s="25">
        <v>303</v>
      </c>
      <c r="R41" s="25">
        <v>316</v>
      </c>
      <c r="S41" s="28">
        <v>318</v>
      </c>
      <c r="V41" s="6"/>
      <c r="AJ41" t="s">
        <v>47</v>
      </c>
      <c r="AK41" s="57">
        <f>AVERAGE(AK34,AK37)</f>
        <v>272</v>
      </c>
      <c r="AL41" s="58">
        <f>AVERAGE(AL34,AL37)</f>
        <v>306</v>
      </c>
      <c r="AM41" s="58">
        <f>AVERAGE(AM34,AM37)</f>
        <v>315.5</v>
      </c>
      <c r="AN41" s="59">
        <f>AVERAGE(AN34,AN37)</f>
        <v>317.5</v>
      </c>
    </row>
    <row r="42" spans="2:40" ht="15.75" thickBot="1" x14ac:dyDescent="0.3">
      <c r="I42" s="97" t="s">
        <v>104</v>
      </c>
      <c r="J42" s="97" t="s">
        <v>100</v>
      </c>
      <c r="P42">
        <f>P41/P40</f>
        <v>1.0377358490566038</v>
      </c>
      <c r="Q42">
        <f>Q41/Q40</f>
        <v>0.97741935483870968</v>
      </c>
      <c r="R42">
        <f>R41/R40</f>
        <v>1.0128205128205128</v>
      </c>
      <c r="S42">
        <f>S41/S40</f>
        <v>1.0460526315789473</v>
      </c>
      <c r="V42" s="6"/>
      <c r="X42" s="36"/>
      <c r="Y42" s="36"/>
      <c r="Z42" s="36"/>
      <c r="AA42" s="34" t="s">
        <v>79</v>
      </c>
      <c r="AB42" s="36"/>
      <c r="AC42" s="36"/>
      <c r="AD42" s="36"/>
      <c r="AE42" s="34" t="s">
        <v>78</v>
      </c>
      <c r="AF42" s="36"/>
      <c r="AG42" s="36"/>
    </row>
    <row r="43" spans="2:40" ht="15.75" thickBot="1" x14ac:dyDescent="0.3">
      <c r="E43" s="2" t="s">
        <v>61</v>
      </c>
      <c r="F43" s="2"/>
      <c r="G43" s="2"/>
      <c r="H43" s="2" t="s">
        <v>62</v>
      </c>
      <c r="I43" s="99">
        <f>(20+50+0+70)/4</f>
        <v>35</v>
      </c>
      <c r="J43" s="99" t="s">
        <v>102</v>
      </c>
      <c r="V43" s="6"/>
      <c r="W43" s="2" t="s">
        <v>77</v>
      </c>
      <c r="X43" s="36"/>
      <c r="Y43" s="37"/>
      <c r="Z43" s="36"/>
      <c r="AA43" s="66">
        <f>(1-AK44)*AA40</f>
        <v>164.76412919569344</v>
      </c>
      <c r="AB43" s="67">
        <f>(1-AL44)*AB40</f>
        <v>155.04784615384617</v>
      </c>
      <c r="AC43" s="67">
        <f>(1-AM44)*AC40</f>
        <v>151.05339904102291</v>
      </c>
      <c r="AD43" s="68">
        <f>(1-((AN44+AN48)/2))*AD40</f>
        <v>156.32215848452509</v>
      </c>
      <c r="AE43" s="69">
        <f>(1-AM48)*AE40</f>
        <v>144.21296432318991</v>
      </c>
      <c r="AF43" s="69">
        <f>(1-AL48)*AF40</f>
        <v>147.11703066164606</v>
      </c>
      <c r="AG43" s="70">
        <f>(1-AK48)*AG40</f>
        <v>157.75001223990208</v>
      </c>
      <c r="AH43" s="34"/>
      <c r="AJ43" t="s">
        <v>48</v>
      </c>
      <c r="AK43" s="1">
        <f>(AH6+AA11+AA16+AA21+AH29+AA34)/6</f>
        <v>263.16666666666669</v>
      </c>
      <c r="AL43" s="1">
        <f>(AG6+AB11+AB16+AB21+AG29+AB34)/6</f>
        <v>303.33333333333331</v>
      </c>
      <c r="AM43" s="1">
        <f>(AF6+AC11+AC16+AC21+AF29+AC34)/6</f>
        <v>312.83333333333331</v>
      </c>
      <c r="AN43" s="1">
        <f>(AE6+AD11+AD16+AD21+AE29+AD34)/6</f>
        <v>312.33333333333331</v>
      </c>
    </row>
    <row r="44" spans="2:40" ht="15.75" thickBot="1" x14ac:dyDescent="0.3">
      <c r="D44" s="1" t="s">
        <v>4</v>
      </c>
      <c r="E44" s="1" t="s">
        <v>58</v>
      </c>
      <c r="F44" s="1" t="s">
        <v>59</v>
      </c>
      <c r="G44" s="1" t="s">
        <v>59</v>
      </c>
      <c r="H44" s="1" t="s">
        <v>60</v>
      </c>
      <c r="I44" s="98" t="s">
        <v>101</v>
      </c>
      <c r="J44" s="98" t="s">
        <v>101</v>
      </c>
      <c r="P44" s="1">
        <f>(P42+P38)/2</f>
        <v>1.0115419172022946</v>
      </c>
      <c r="Q44" s="1">
        <f>(Q42+Q38)/2</f>
        <v>0.99033305404273153</v>
      </c>
      <c r="R44" s="1">
        <f>(R42+R38)/2</f>
        <v>1.0161189942743341</v>
      </c>
      <c r="S44" s="1">
        <f>(S42+S38)/2</f>
        <v>1.051359649122807</v>
      </c>
      <c r="V44" s="6"/>
      <c r="X44" s="36"/>
      <c r="Y44" s="36"/>
      <c r="Z44" s="36"/>
      <c r="AE44" s="36"/>
      <c r="AF44" s="36"/>
      <c r="AG44" s="36"/>
      <c r="AH44" s="36"/>
      <c r="AJ44" t="s">
        <v>72</v>
      </c>
      <c r="AK44" s="54">
        <f>1-(AK41/AK43)</f>
        <v>-3.3565547815072705E-2</v>
      </c>
      <c r="AL44" s="55">
        <f>1-(AL41/AL43)</f>
        <v>-8.79120879120876E-3</v>
      </c>
      <c r="AM44" s="55">
        <f>1-(AM41/AM43)</f>
        <v>-8.5242408098029632E-3</v>
      </c>
      <c r="AN44" s="56">
        <f>1-(AN41/AN43)</f>
        <v>-1.6542155816435589E-2</v>
      </c>
    </row>
    <row r="45" spans="2:40" ht="15.75" thickBot="1" x14ac:dyDescent="0.3">
      <c r="C45" s="2" t="s">
        <v>2</v>
      </c>
      <c r="D45" s="9">
        <f t="shared" ref="D45:H46" si="0">(D36+D40)/2</f>
        <v>1181</v>
      </c>
      <c r="E45" s="10">
        <f t="shared" si="0"/>
        <v>159</v>
      </c>
      <c r="F45" s="10">
        <f t="shared" si="0"/>
        <v>154</v>
      </c>
      <c r="G45" s="10">
        <f t="shared" si="0"/>
        <v>153</v>
      </c>
      <c r="H45" s="13">
        <f t="shared" si="0"/>
        <v>141.5</v>
      </c>
      <c r="I45" s="100"/>
      <c r="J45" s="100" t="s">
        <v>103</v>
      </c>
      <c r="V45" s="6"/>
      <c r="W45" s="2" t="s">
        <v>80</v>
      </c>
      <c r="X45" s="36"/>
      <c r="Y45" s="36"/>
      <c r="Z45" s="36"/>
      <c r="AA45" s="62">
        <f>AG45</f>
        <v>166.25</v>
      </c>
      <c r="AB45" s="63">
        <f>AF45</f>
        <v>154.5</v>
      </c>
      <c r="AC45" s="63">
        <f>AE45</f>
        <v>154.5</v>
      </c>
      <c r="AD45" s="63">
        <f>E50</f>
        <v>163</v>
      </c>
      <c r="AE45" s="63">
        <f>F50</f>
        <v>154.5</v>
      </c>
      <c r="AF45" s="63">
        <f>G50</f>
        <v>154.5</v>
      </c>
      <c r="AG45" s="65">
        <f>H50</f>
        <v>166.25</v>
      </c>
      <c r="AJ45" s="61" t="s">
        <v>73</v>
      </c>
      <c r="AM45" s="60">
        <f>AVERAGE(AK44:AN44)</f>
        <v>-1.6855788308130004E-2</v>
      </c>
    </row>
    <row r="46" spans="2:40" ht="15.75" thickBot="1" x14ac:dyDescent="0.3">
      <c r="C46" s="2" t="s">
        <v>3</v>
      </c>
      <c r="D46" s="22">
        <f t="shared" si="0"/>
        <v>1287</v>
      </c>
      <c r="E46" s="25">
        <f t="shared" si="0"/>
        <v>163</v>
      </c>
      <c r="F46" s="25">
        <f t="shared" si="0"/>
        <v>154.5</v>
      </c>
      <c r="G46" s="25">
        <f t="shared" si="0"/>
        <v>154.5</v>
      </c>
      <c r="H46" s="28">
        <f t="shared" si="0"/>
        <v>166.25</v>
      </c>
      <c r="V46" s="6"/>
      <c r="X46" s="36"/>
      <c r="Y46" s="37"/>
      <c r="Z46" s="36"/>
      <c r="AA46" s="36"/>
      <c r="AB46" s="36"/>
      <c r="AC46" s="36"/>
      <c r="AD46" s="36"/>
      <c r="AE46" s="37"/>
      <c r="AF46" s="37"/>
      <c r="AG46" s="37"/>
      <c r="AH46" s="36"/>
    </row>
    <row r="47" spans="2:40" ht="15.75" thickBot="1" x14ac:dyDescent="0.3">
      <c r="P47" s="1"/>
      <c r="Q47" s="1"/>
      <c r="R47" s="1"/>
      <c r="S47" s="1"/>
      <c r="V47" s="6"/>
      <c r="X47" s="36"/>
      <c r="Y47" s="36"/>
      <c r="Z47" s="36"/>
      <c r="AA47" s="36">
        <f>AA45/AA43</f>
        <v>1.0090181692554072</v>
      </c>
      <c r="AB47" s="36">
        <f t="shared" ref="AB47:AG47" si="1">AB45/AB43</f>
        <v>0.99646659939214788</v>
      </c>
      <c r="AC47" s="36">
        <f t="shared" si="1"/>
        <v>1.0228171029639728</v>
      </c>
      <c r="AD47" s="36">
        <f t="shared" si="1"/>
        <v>1.0427184577043567</v>
      </c>
      <c r="AE47" s="36">
        <f t="shared" si="1"/>
        <v>1.0713322531374934</v>
      </c>
      <c r="AF47" s="36">
        <f t="shared" si="1"/>
        <v>1.0501843281172116</v>
      </c>
      <c r="AG47" s="36">
        <f t="shared" si="1"/>
        <v>1.0538826440607267</v>
      </c>
      <c r="AH47" s="36"/>
      <c r="AJ47" t="s">
        <v>56</v>
      </c>
      <c r="AK47" s="1">
        <f>(AA6+AH11+AH21+AA29+AH34+AH16)/6</f>
        <v>272.33333333333331</v>
      </c>
      <c r="AL47" s="1">
        <f>(AB6+AG11+AG16+AG21+AB29+AG34)/6</f>
        <v>309.83333333333331</v>
      </c>
      <c r="AM47" s="1">
        <f>(AC6+AF16+AF21+AC29+AF34+AF11)/6</f>
        <v>317.66666666666669</v>
      </c>
      <c r="AN47" s="1">
        <f>(AD6+AE11+AE16+AE21+AD29+AE34)/6</f>
        <v>315.33333333333331</v>
      </c>
    </row>
    <row r="48" spans="2:40" ht="15.75" thickBot="1" x14ac:dyDescent="0.3">
      <c r="D48" s="1" t="s">
        <v>4</v>
      </c>
      <c r="E48" s="1" t="s">
        <v>58</v>
      </c>
      <c r="F48" s="1" t="s">
        <v>59</v>
      </c>
      <c r="G48" s="1" t="s">
        <v>59</v>
      </c>
      <c r="H48" s="1" t="s">
        <v>60</v>
      </c>
      <c r="V48" s="6"/>
      <c r="W48" s="2" t="s">
        <v>81</v>
      </c>
      <c r="AA48" s="89">
        <f>(AA47-1)</f>
        <v>9.0181692554072157E-3</v>
      </c>
      <c r="AB48" s="90">
        <f t="shared" ref="AB48:AG48" si="2">(AB47-1)</f>
        <v>-3.5334006078521218E-3</v>
      </c>
      <c r="AC48" s="90">
        <f t="shared" si="2"/>
        <v>2.2817102963972768E-2</v>
      </c>
      <c r="AD48" s="48">
        <f t="shared" si="2"/>
        <v>4.2718457704356672E-2</v>
      </c>
      <c r="AE48" s="92">
        <f t="shared" si="2"/>
        <v>7.1332253137493362E-2</v>
      </c>
      <c r="AF48" s="92">
        <f t="shared" si="2"/>
        <v>5.018432811721163E-2</v>
      </c>
      <c r="AG48" s="93">
        <f t="shared" si="2"/>
        <v>5.3882644060726737E-2</v>
      </c>
      <c r="AJ48" t="s">
        <v>72</v>
      </c>
      <c r="AK48" s="47">
        <f>1-(AK41/AK47)</f>
        <v>1.223990208078285E-3</v>
      </c>
      <c r="AL48" s="48">
        <f>1-(AL41/AL47)</f>
        <v>1.2372243141473893E-2</v>
      </c>
      <c r="AM48" s="48">
        <f>1-(AM41/AM47)</f>
        <v>6.8205666316895064E-3</v>
      </c>
      <c r="AN48" s="49">
        <f>1-(AN41/AN47)</f>
        <v>-6.871035940803516E-3</v>
      </c>
    </row>
    <row r="49" spans="3:47" ht="15.75" thickBot="1" x14ac:dyDescent="0.3">
      <c r="C49" s="2" t="s">
        <v>2</v>
      </c>
      <c r="D49" s="9">
        <f>D45*AVERAGE(P60:S60)</f>
        <v>1201.4766547230997</v>
      </c>
      <c r="E49" s="10">
        <f>E45*P63</f>
        <v>167.16618421052632</v>
      </c>
      <c r="F49" s="10">
        <f>F45*Q63</f>
        <v>159.19585554157987</v>
      </c>
      <c r="G49" s="10">
        <f>G45*R63</f>
        <v>153.49358169625549</v>
      </c>
      <c r="H49" s="13">
        <f>H45*S63</f>
        <v>141.6326542155856</v>
      </c>
      <c r="P49" s="1" t="s">
        <v>19</v>
      </c>
      <c r="Q49" s="1" t="s">
        <v>18</v>
      </c>
      <c r="R49" s="1" t="s">
        <v>17</v>
      </c>
      <c r="S49" s="1" t="s">
        <v>16</v>
      </c>
      <c r="V49" s="6"/>
      <c r="AJ49" s="61" t="s">
        <v>73</v>
      </c>
      <c r="AM49" s="60">
        <f>AVERAGE(AK48:AN48)</f>
        <v>3.3864410101095421E-3</v>
      </c>
    </row>
    <row r="50" spans="3:47" ht="15.75" thickBot="1" x14ac:dyDescent="0.3">
      <c r="C50" s="2" t="s">
        <v>3</v>
      </c>
      <c r="D50" s="22">
        <f>D46</f>
        <v>1287</v>
      </c>
      <c r="E50" s="25">
        <f>E46</f>
        <v>163</v>
      </c>
      <c r="F50" s="25">
        <f>F46</f>
        <v>154.5</v>
      </c>
      <c r="G50" s="25">
        <f>G46</f>
        <v>154.5</v>
      </c>
      <c r="H50" s="28">
        <f>H46</f>
        <v>166.25</v>
      </c>
      <c r="N50" s="2" t="s">
        <v>63</v>
      </c>
      <c r="P50" s="44">
        <f>P44</f>
        <v>1.0115419172022946</v>
      </c>
      <c r="Q50" s="45">
        <f>Q44</f>
        <v>0.99033305404273153</v>
      </c>
      <c r="R50" s="45">
        <f>R44</f>
        <v>1.0161189942743341</v>
      </c>
      <c r="S50" s="46">
        <f>S44</f>
        <v>1.051359649122807</v>
      </c>
      <c r="V50" s="6"/>
      <c r="AA50" s="2" t="s">
        <v>82</v>
      </c>
      <c r="AE50" s="2" t="s">
        <v>83</v>
      </c>
    </row>
    <row r="51" spans="3:47" ht="15.75" thickBot="1" x14ac:dyDescent="0.3">
      <c r="V51" s="6"/>
      <c r="AA51" s="91">
        <f>AVERAGE(AA48:AC48)</f>
        <v>9.4339572038426214E-3</v>
      </c>
      <c r="AE51" s="94">
        <f>AVERAGE(AE48:AG48)</f>
        <v>5.8466408438477245E-2</v>
      </c>
    </row>
    <row r="52" spans="3:47" ht="15.75" thickBot="1" x14ac:dyDescent="0.3">
      <c r="C52" s="2" t="s">
        <v>63</v>
      </c>
      <c r="D52">
        <f>D50/D49</f>
        <v>1.0711818618703086</v>
      </c>
      <c r="E52">
        <f>E50/E49</f>
        <v>0.97507758982355242</v>
      </c>
      <c r="F52">
        <f>F50/F49</f>
        <v>0.97050265205959851</v>
      </c>
      <c r="G52">
        <f>G50/G49</f>
        <v>1.006556745191705</v>
      </c>
      <c r="H52">
        <f>H50/H49</f>
        <v>1.1738112296260663</v>
      </c>
      <c r="M52" s="19"/>
      <c r="N52" s="52" t="s">
        <v>64</v>
      </c>
      <c r="O52" s="10"/>
      <c r="P52" s="10"/>
      <c r="Q52" s="10"/>
      <c r="R52" s="10"/>
      <c r="S52" s="13"/>
      <c r="T52" s="13"/>
      <c r="V52" s="6"/>
    </row>
    <row r="53" spans="3:47" ht="15.75" thickBot="1" x14ac:dyDescent="0.3">
      <c r="D53" s="47">
        <f>(D52-1)</f>
        <v>7.1181861870308616E-2</v>
      </c>
      <c r="E53" s="48">
        <f>(E52-1)</f>
        <v>-2.4922410176447585E-2</v>
      </c>
      <c r="F53" s="48">
        <f>(F52-1)</f>
        <v>-2.9497347940401486E-2</v>
      </c>
      <c r="G53" s="48">
        <f>(G52-1)</f>
        <v>6.5567451917050157E-3</v>
      </c>
      <c r="H53" s="49">
        <f>(H52-1)</f>
        <v>0.17381122962606632</v>
      </c>
      <c r="M53" s="19"/>
      <c r="N53" s="53"/>
      <c r="O53" s="19"/>
      <c r="P53" s="19"/>
      <c r="Q53" s="19"/>
      <c r="R53" s="19">
        <f>10344.17</f>
        <v>10344.17</v>
      </c>
      <c r="S53" s="20"/>
      <c r="T53" s="20"/>
      <c r="V53" s="6"/>
      <c r="W53" s="1" t="s">
        <v>86</v>
      </c>
    </row>
    <row r="54" spans="3:47" x14ac:dyDescent="0.25">
      <c r="M54" s="19"/>
      <c r="N54" s="14" t="s">
        <v>65</v>
      </c>
      <c r="O54" s="19"/>
      <c r="P54" s="19"/>
      <c r="Q54" s="43">
        <f>R53</f>
        <v>10344.17</v>
      </c>
      <c r="R54" s="18" t="s">
        <v>66</v>
      </c>
      <c r="S54" s="20"/>
      <c r="T54" s="20"/>
      <c r="V54" s="6"/>
      <c r="W54" t="s">
        <v>87</v>
      </c>
      <c r="Z54" s="96">
        <f>AVERAGE(Y8,Y13,Y18,Y23,Y31,Y36)</f>
        <v>-4.8502706891131175E-2</v>
      </c>
    </row>
    <row r="55" spans="3:47" ht="15.75" thickBot="1" x14ac:dyDescent="0.3">
      <c r="C55" s="2" t="s">
        <v>85</v>
      </c>
      <c r="D55">
        <f>D49/D50</f>
        <v>0.93354829426814279</v>
      </c>
      <c r="E55">
        <f>E49/E50</f>
        <v>1.0255594123345173</v>
      </c>
      <c r="F55">
        <f>F49/F50</f>
        <v>1.0303938870005169</v>
      </c>
      <c r="G55">
        <f>G49/G50</f>
        <v>0.99348596567155656</v>
      </c>
      <c r="H55">
        <f>H49/H50</f>
        <v>0.85192573964262019</v>
      </c>
      <c r="M55" s="19"/>
      <c r="N55" s="14" t="s">
        <v>67</v>
      </c>
      <c r="O55" s="19"/>
      <c r="P55" s="19"/>
      <c r="Q55" s="19">
        <v>10</v>
      </c>
      <c r="R55" s="19"/>
      <c r="S55" s="20"/>
      <c r="T55" s="20"/>
      <c r="V55" s="6"/>
    </row>
    <row r="56" spans="3:47" ht="15.75" thickBot="1" x14ac:dyDescent="0.3">
      <c r="D56" s="47">
        <f>(D55-1)</f>
        <v>-6.6451705731857214E-2</v>
      </c>
      <c r="E56" s="48">
        <f>(E55-1)</f>
        <v>2.5559412334517306E-2</v>
      </c>
      <c r="F56" s="48">
        <f>(F55-1)</f>
        <v>3.0393887000516928E-2</v>
      </c>
      <c r="G56" s="48">
        <f>(G55-1)</f>
        <v>-6.514034328443441E-3</v>
      </c>
      <c r="H56" s="49">
        <f>(H55-1)</f>
        <v>-0.14807426035737981</v>
      </c>
      <c r="M56" s="19"/>
      <c r="N56" s="14" t="s">
        <v>68</v>
      </c>
      <c r="O56" s="19"/>
      <c r="P56" s="19"/>
      <c r="Q56" s="19">
        <v>2700</v>
      </c>
      <c r="R56" s="19"/>
      <c r="S56" s="20"/>
      <c r="T56" s="20"/>
      <c r="V56" s="6"/>
      <c r="W56" s="95"/>
      <c r="Y56" s="95"/>
    </row>
    <row r="57" spans="3:47" ht="15.75" thickBot="1" x14ac:dyDescent="0.3">
      <c r="M57" s="19"/>
      <c r="N57" s="22" t="s">
        <v>69</v>
      </c>
      <c r="O57" s="25"/>
      <c r="P57" s="25"/>
      <c r="Q57" s="25">
        <v>1</v>
      </c>
      <c r="R57" s="25" t="e">
        <f>(R54+SIN(R55*(PI()/180))*R56)/(R54)</f>
        <v>#VALUE!</v>
      </c>
      <c r="S57" s="28"/>
      <c r="T57" s="28"/>
      <c r="V57" s="6"/>
      <c r="W57" t="s">
        <v>88</v>
      </c>
      <c r="X57">
        <f>AVERAGE(Z7,Z12,Z17,Z22,Z30,Z35)</f>
        <v>622.66666666666663</v>
      </c>
    </row>
    <row r="58" spans="3:47" x14ac:dyDescent="0.25">
      <c r="E58" s="88">
        <f>AVERAGE(E55:H55)</f>
        <v>0.97534125116230275</v>
      </c>
      <c r="M58" s="19"/>
      <c r="N58" s="19"/>
      <c r="O58" s="19"/>
      <c r="P58" s="19"/>
      <c r="Q58" s="19"/>
      <c r="R58" s="19"/>
      <c r="S58" s="19"/>
      <c r="T58" s="19"/>
      <c r="V58" s="6"/>
      <c r="W58" t="s">
        <v>89</v>
      </c>
      <c r="X58">
        <f>AVERAGE(Y7,Y12,Y17,Y22,Y30,Y35)</f>
        <v>617.5273991660307</v>
      </c>
    </row>
    <row r="59" spans="3:47" ht="15.75" thickBot="1" x14ac:dyDescent="0.3">
      <c r="E59" s="71">
        <f>AVERAGE(E56:H56)</f>
        <v>-2.4658748837697253E-2</v>
      </c>
      <c r="M59" s="19"/>
      <c r="P59" s="1" t="s">
        <v>19</v>
      </c>
      <c r="Q59" s="1" t="s">
        <v>18</v>
      </c>
      <c r="R59" s="1" t="s">
        <v>17</v>
      </c>
      <c r="S59" s="1" t="s">
        <v>16</v>
      </c>
      <c r="T59" s="19"/>
      <c r="V59" s="6"/>
    </row>
    <row r="60" spans="3:47" ht="15.75" thickBot="1" x14ac:dyDescent="0.3">
      <c r="M60" s="19"/>
      <c r="N60" s="2" t="s">
        <v>63</v>
      </c>
      <c r="P60" s="44">
        <f>$Q57*(P50-1)+1</f>
        <v>1.0115419172022946</v>
      </c>
      <c r="Q60" s="44">
        <f>$Q57*(Q50-1)+1</f>
        <v>0.99033305404273153</v>
      </c>
      <c r="R60" s="44">
        <f>$Q57*(R50-1)+1</f>
        <v>1.0161189942743341</v>
      </c>
      <c r="S60" s="44">
        <f>$Q57*(S50-1)+1</f>
        <v>1.051359649122807</v>
      </c>
      <c r="T60" s="19"/>
      <c r="V60" s="6"/>
    </row>
    <row r="61" spans="3:47" x14ac:dyDescent="0.25"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3:47" ht="15.75" thickBot="1" x14ac:dyDescent="0.3">
      <c r="P62" s="1" t="s">
        <v>58</v>
      </c>
      <c r="Q62" s="1" t="s">
        <v>59</v>
      </c>
      <c r="R62" s="1" t="s">
        <v>60</v>
      </c>
      <c r="S62" s="1" t="s">
        <v>70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3:47" ht="15.75" thickBot="1" x14ac:dyDescent="0.3">
      <c r="N63" s="2" t="s">
        <v>63</v>
      </c>
      <c r="P63" s="44">
        <f>S60</f>
        <v>1.051359649122807</v>
      </c>
      <c r="Q63" s="45">
        <f>(R60+S60)/2</f>
        <v>1.0337393216985706</v>
      </c>
      <c r="R63" s="45">
        <f>(Q60+R60)/2</f>
        <v>1.0032260241585327</v>
      </c>
      <c r="S63" s="46">
        <f>(P60+Q60)/2</f>
        <v>1.0009374856225131</v>
      </c>
      <c r="U63" s="31"/>
      <c r="V63" s="31"/>
      <c r="W63" s="31"/>
      <c r="X63" s="83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83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3:47" x14ac:dyDescent="0.25">
      <c r="P64" s="4">
        <f>P63-1</f>
        <v>5.1359649122806994E-2</v>
      </c>
      <c r="Q64" s="4">
        <f t="shared" ref="Q64:S64" si="3">Q63-1</f>
        <v>3.3739321698570635E-2</v>
      </c>
      <c r="R64" s="4">
        <f t="shared" si="3"/>
        <v>3.226024158532681E-3</v>
      </c>
      <c r="S64" s="4">
        <f t="shared" si="3"/>
        <v>9.3748562251305678E-4</v>
      </c>
      <c r="U64" s="31"/>
      <c r="V64" s="31"/>
      <c r="W64" s="31"/>
      <c r="X64" s="31"/>
      <c r="Y64" s="31"/>
      <c r="Z64" s="31"/>
      <c r="AA64" s="82"/>
      <c r="AB64" s="82"/>
      <c r="AC64" s="82"/>
      <c r="AD64" s="84"/>
      <c r="AE64" s="82"/>
      <c r="AF64" s="82"/>
      <c r="AG64" s="82"/>
      <c r="AH64" s="82"/>
      <c r="AI64" s="31"/>
      <c r="AJ64" s="31"/>
      <c r="AK64" s="31"/>
      <c r="AL64" s="31"/>
      <c r="AM64" s="31"/>
      <c r="AN64" s="31"/>
      <c r="AO64" s="82"/>
      <c r="AP64" s="82"/>
      <c r="AQ64" s="82"/>
      <c r="AR64" s="82"/>
      <c r="AS64" s="31"/>
      <c r="AT64" s="31"/>
      <c r="AU64" s="31"/>
    </row>
    <row r="65" spans="2:47" x14ac:dyDescent="0.25">
      <c r="U65" s="31"/>
      <c r="V65" s="31"/>
      <c r="W65" s="31"/>
      <c r="X65" s="40"/>
      <c r="Y65" s="40"/>
      <c r="Z65" s="40"/>
      <c r="AA65" s="40"/>
      <c r="AB65" s="40"/>
      <c r="AC65" s="40"/>
      <c r="AD65" s="85"/>
      <c r="AE65" s="85"/>
      <c r="AF65" s="40"/>
      <c r="AG65" s="40"/>
      <c r="AH65" s="40"/>
      <c r="AI65" s="31"/>
      <c r="AJ65" s="31"/>
      <c r="AK65" s="31"/>
      <c r="AL65" s="40"/>
      <c r="AM65" s="40"/>
      <c r="AN65" s="40"/>
      <c r="AO65" s="85"/>
      <c r="AP65" s="40"/>
      <c r="AQ65" s="40"/>
      <c r="AR65" s="40"/>
      <c r="AS65" s="31"/>
      <c r="AT65" s="31"/>
      <c r="AU65" s="31"/>
    </row>
    <row r="66" spans="2:47" x14ac:dyDescent="0.25">
      <c r="O66" t="s">
        <v>105</v>
      </c>
      <c r="U66" s="31"/>
      <c r="V66" s="31"/>
      <c r="W66" s="31"/>
      <c r="X66" s="83"/>
      <c r="Y66" s="31"/>
      <c r="Z66" s="31"/>
      <c r="AA66" s="31"/>
      <c r="AB66" s="31"/>
      <c r="AC66" s="31"/>
      <c r="AD66" s="83"/>
      <c r="AE66" s="83"/>
      <c r="AF66" s="31"/>
      <c r="AG66" s="31"/>
      <c r="AH66" s="31"/>
      <c r="AI66" s="31"/>
      <c r="AJ66" s="31"/>
      <c r="AK66" s="31"/>
      <c r="AL66" s="83"/>
      <c r="AM66" s="31"/>
      <c r="AN66" s="31"/>
      <c r="AO66" s="83"/>
      <c r="AP66" s="31"/>
      <c r="AQ66" s="31"/>
      <c r="AR66" s="31"/>
      <c r="AS66" s="31"/>
      <c r="AT66" s="31"/>
      <c r="AU66" s="31"/>
    </row>
    <row r="67" spans="2:47" x14ac:dyDescent="0.25">
      <c r="O67">
        <f>AVERAGE(P60:S60)</f>
        <v>1.0173384036605417</v>
      </c>
      <c r="U67" s="31"/>
      <c r="V67" s="31"/>
      <c r="W67" s="31"/>
      <c r="X67" s="83"/>
      <c r="Y67" s="83"/>
      <c r="Z67" s="83"/>
      <c r="AA67" s="31"/>
      <c r="AB67" s="31"/>
      <c r="AC67" s="31"/>
      <c r="AD67" s="83"/>
      <c r="AE67" s="32"/>
      <c r="AF67" s="32"/>
      <c r="AG67" s="32"/>
      <c r="AH67" s="31"/>
      <c r="AI67" s="31"/>
      <c r="AJ67" s="31"/>
      <c r="AK67" s="31"/>
      <c r="AL67" s="83"/>
      <c r="AM67" s="83"/>
      <c r="AN67" s="83"/>
      <c r="AO67" s="32"/>
      <c r="AP67" s="32"/>
      <c r="AQ67" s="32"/>
      <c r="AR67" s="31"/>
      <c r="AS67" s="31"/>
      <c r="AT67" s="31"/>
      <c r="AU67" s="31"/>
    </row>
    <row r="68" spans="2:47" x14ac:dyDescent="0.25">
      <c r="N68" s="19"/>
      <c r="O68" s="4">
        <f>O67-1</f>
        <v>1.7338403660541735E-2</v>
      </c>
      <c r="U68" s="31"/>
      <c r="V68" s="31"/>
      <c r="W68" s="31"/>
      <c r="X68" s="86"/>
      <c r="Y68" s="82"/>
      <c r="Z68" s="31"/>
      <c r="AA68" s="31"/>
      <c r="AB68" s="31"/>
      <c r="AC68" s="31"/>
      <c r="AD68" s="31"/>
      <c r="AE68" s="82"/>
      <c r="AF68" s="82"/>
      <c r="AG68" s="82"/>
      <c r="AH68" s="31"/>
      <c r="AI68" s="31"/>
      <c r="AJ68" s="31"/>
      <c r="AK68" s="31"/>
      <c r="AL68" s="86"/>
      <c r="AM68" s="82"/>
      <c r="AN68" s="31"/>
      <c r="AO68" s="82"/>
      <c r="AP68" s="82"/>
      <c r="AQ68" s="82"/>
      <c r="AR68" s="31"/>
      <c r="AS68" s="31"/>
      <c r="AT68" s="31"/>
      <c r="AU68" s="31"/>
    </row>
    <row r="69" spans="2:47" x14ac:dyDescent="0.25">
      <c r="U69" s="31"/>
      <c r="V69" s="31"/>
      <c r="W69" s="31"/>
      <c r="X69" s="31"/>
      <c r="Y69" s="31"/>
      <c r="Z69" s="31"/>
      <c r="AA69" s="82"/>
      <c r="AB69" s="82"/>
      <c r="AC69" s="82"/>
      <c r="AD69" s="84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2:47" x14ac:dyDescent="0.25">
      <c r="Q70" s="31"/>
      <c r="R70" s="31"/>
      <c r="S70" s="31"/>
      <c r="T70" s="40"/>
      <c r="U70" s="40"/>
      <c r="V70" s="40"/>
      <c r="W70" s="40"/>
      <c r="X70" s="40"/>
      <c r="Y70" s="40"/>
      <c r="Z70" s="85"/>
      <c r="AA70" s="85"/>
      <c r="AB70" s="40"/>
      <c r="AC70" s="40"/>
      <c r="AD70" s="40"/>
      <c r="AE70" s="31"/>
      <c r="AF70" s="31"/>
      <c r="AG70" s="31"/>
      <c r="AH70" s="40"/>
      <c r="AI70" s="40"/>
      <c r="AJ70" s="40"/>
      <c r="AK70" s="40"/>
      <c r="AL70" s="40"/>
      <c r="AM70" s="40"/>
      <c r="AN70" s="85"/>
      <c r="AO70" s="85"/>
      <c r="AP70" s="40"/>
      <c r="AQ70" s="40"/>
      <c r="AR70" s="40"/>
      <c r="AS70" s="31"/>
      <c r="AT70" s="31"/>
      <c r="AU70" s="31"/>
    </row>
    <row r="71" spans="2:47" x14ac:dyDescent="0.25">
      <c r="Q71" s="31"/>
      <c r="R71" s="31"/>
      <c r="S71" s="31"/>
      <c r="T71" s="83"/>
      <c r="U71" s="31"/>
      <c r="V71" s="31"/>
      <c r="W71" s="31"/>
      <c r="X71" s="31"/>
      <c r="Y71" s="31"/>
      <c r="Z71" s="83"/>
      <c r="AA71" s="83"/>
      <c r="AB71" s="31"/>
      <c r="AC71" s="31"/>
      <c r="AD71" s="31"/>
      <c r="AE71" s="31"/>
      <c r="AF71" s="31"/>
      <c r="AG71" s="31"/>
      <c r="AH71" s="83"/>
      <c r="AI71" s="31"/>
      <c r="AJ71" s="31"/>
      <c r="AK71" s="31"/>
      <c r="AL71" s="31"/>
      <c r="AM71" s="31"/>
      <c r="AN71" s="83"/>
      <c r="AO71" s="83"/>
      <c r="AP71" s="31"/>
      <c r="AQ71" s="31"/>
      <c r="AR71" s="31"/>
      <c r="AS71" s="31"/>
      <c r="AT71" s="31"/>
      <c r="AU71" s="31"/>
    </row>
    <row r="72" spans="2:47" x14ac:dyDescent="0.25">
      <c r="Q72" s="31"/>
      <c r="R72" s="31"/>
      <c r="S72" s="31"/>
      <c r="T72" s="83"/>
      <c r="U72" s="83"/>
      <c r="V72" s="83"/>
      <c r="W72" s="31"/>
      <c r="X72" s="31"/>
      <c r="Y72" s="31"/>
      <c r="Z72" s="83"/>
      <c r="AA72" s="32"/>
      <c r="AB72" s="31"/>
      <c r="AC72" s="31"/>
      <c r="AD72" s="31"/>
      <c r="AE72" s="31"/>
      <c r="AF72" s="31"/>
      <c r="AG72" s="31"/>
      <c r="AH72" s="83"/>
      <c r="AI72" s="83"/>
      <c r="AJ72" s="83"/>
      <c r="AK72" s="31"/>
      <c r="AL72" s="31"/>
      <c r="AM72" s="31"/>
      <c r="AN72" s="83"/>
      <c r="AO72" s="32"/>
      <c r="AP72" s="31"/>
      <c r="AQ72" s="31"/>
      <c r="AR72" s="31"/>
      <c r="AS72" s="31"/>
      <c r="AT72" s="31"/>
      <c r="AU72" s="31"/>
    </row>
    <row r="73" spans="2:47" x14ac:dyDescent="0.25">
      <c r="Q73" s="31"/>
      <c r="R73" s="31"/>
      <c r="S73" s="31"/>
      <c r="T73" s="87"/>
      <c r="U73" s="82"/>
      <c r="V73" s="31"/>
      <c r="W73" s="31"/>
      <c r="X73" s="31"/>
      <c r="Y73" s="31"/>
      <c r="Z73" s="31"/>
      <c r="AA73" s="82"/>
      <c r="AB73" s="82"/>
      <c r="AC73" s="82"/>
      <c r="AD73" s="31"/>
      <c r="AE73" s="31"/>
      <c r="AF73" s="31"/>
      <c r="AG73" s="31"/>
      <c r="AH73" s="87"/>
      <c r="AI73" s="82"/>
      <c r="AJ73" s="31"/>
      <c r="AK73" s="31"/>
      <c r="AL73" s="31"/>
      <c r="AM73" s="31"/>
      <c r="AN73" s="31"/>
      <c r="AO73" s="82"/>
      <c r="AP73" s="82"/>
      <c r="AQ73" s="82"/>
      <c r="AR73" s="31"/>
      <c r="AS73" s="31"/>
      <c r="AT73" s="31"/>
      <c r="AU73" s="31"/>
    </row>
    <row r="74" spans="2:47" x14ac:dyDescent="0.25">
      <c r="Q74" s="31"/>
      <c r="R74" s="31"/>
      <c r="S74" s="31"/>
      <c r="T74" s="31"/>
      <c r="U74" s="31"/>
      <c r="V74" s="31"/>
      <c r="W74" s="82"/>
      <c r="X74" s="82"/>
      <c r="Y74" s="82"/>
      <c r="Z74" s="84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82"/>
      <c r="AL74" s="82"/>
      <c r="AM74" s="82"/>
      <c r="AN74" s="84"/>
      <c r="AO74" s="31"/>
      <c r="AP74" s="31"/>
      <c r="AQ74" s="31"/>
      <c r="AR74" s="31"/>
      <c r="AS74" s="31"/>
      <c r="AT74" s="31"/>
      <c r="AU74" s="31"/>
    </row>
    <row r="75" spans="2:47" x14ac:dyDescent="0.25">
      <c r="Q75" s="31"/>
      <c r="R75" s="31"/>
      <c r="S75" s="31"/>
      <c r="T75" s="40"/>
      <c r="U75" s="40"/>
      <c r="V75" s="40"/>
      <c r="W75" s="40"/>
      <c r="X75" s="40"/>
      <c r="Y75" s="40"/>
      <c r="Z75" s="85"/>
      <c r="AA75" s="85"/>
      <c r="AB75" s="40"/>
      <c r="AC75" s="40"/>
      <c r="AD75" s="40"/>
      <c r="AE75" s="31"/>
      <c r="AF75" s="31"/>
      <c r="AG75" s="31"/>
      <c r="AH75" s="40"/>
      <c r="AI75" s="40"/>
      <c r="AJ75" s="40"/>
      <c r="AK75" s="40"/>
      <c r="AL75" s="40"/>
      <c r="AM75" s="40"/>
      <c r="AN75" s="85"/>
      <c r="AO75" s="85"/>
      <c r="AP75" s="40"/>
      <c r="AQ75" s="40"/>
      <c r="AR75" s="40"/>
      <c r="AS75" s="31"/>
      <c r="AT75" s="31"/>
      <c r="AU75" s="31"/>
    </row>
    <row r="76" spans="2:47" x14ac:dyDescent="0.25">
      <c r="Q76" s="31"/>
      <c r="R76" s="31"/>
      <c r="S76" s="31"/>
      <c r="T76" s="83"/>
      <c r="U76" s="31"/>
      <c r="V76" s="31"/>
      <c r="W76" s="31"/>
      <c r="X76" s="31"/>
      <c r="Y76" s="31"/>
      <c r="Z76" s="83"/>
      <c r="AA76" s="83"/>
      <c r="AB76" s="31"/>
      <c r="AC76" s="31"/>
      <c r="AD76" s="31"/>
      <c r="AE76" s="31"/>
      <c r="AF76" s="31"/>
      <c r="AG76" s="31"/>
      <c r="AH76" s="83"/>
      <c r="AI76" s="31"/>
      <c r="AJ76" s="31"/>
      <c r="AK76" s="31"/>
      <c r="AL76" s="31"/>
      <c r="AM76" s="31"/>
      <c r="AN76" s="83"/>
      <c r="AO76" s="83"/>
      <c r="AP76" s="31"/>
      <c r="AQ76" s="31"/>
      <c r="AR76" s="31"/>
      <c r="AS76" s="31"/>
      <c r="AT76" s="31"/>
      <c r="AU76" s="31"/>
    </row>
    <row r="77" spans="2:47" x14ac:dyDescent="0.25">
      <c r="Q77" s="31"/>
      <c r="R77" s="31"/>
      <c r="S77" s="31"/>
      <c r="T77" s="83"/>
      <c r="U77" s="83"/>
      <c r="V77" s="83"/>
      <c r="W77" s="31"/>
      <c r="X77" s="31"/>
      <c r="Y77" s="31"/>
      <c r="Z77" s="83"/>
      <c r="AA77" s="32"/>
      <c r="AB77" s="31"/>
      <c r="AC77" s="31"/>
      <c r="AD77" s="31"/>
      <c r="AE77" s="31"/>
      <c r="AF77" s="31"/>
      <c r="AG77" s="31"/>
      <c r="AH77" s="83"/>
      <c r="AI77" s="83"/>
      <c r="AJ77" s="83"/>
      <c r="AK77" s="31"/>
      <c r="AL77" s="31"/>
      <c r="AM77" s="31"/>
      <c r="AN77" s="83"/>
      <c r="AO77" s="32"/>
      <c r="AP77" s="31"/>
      <c r="AQ77" s="31"/>
      <c r="AR77" s="31"/>
      <c r="AS77" s="31"/>
      <c r="AT77" s="31"/>
      <c r="AU77" s="31"/>
    </row>
    <row r="78" spans="2:47" x14ac:dyDescent="0.25">
      <c r="Q78" s="31"/>
      <c r="R78" s="31"/>
      <c r="S78" s="31"/>
      <c r="T78" s="31"/>
      <c r="U78" s="82"/>
      <c r="V78" s="31"/>
      <c r="W78" s="31"/>
      <c r="X78" s="31"/>
      <c r="Y78" s="31"/>
      <c r="Z78" s="31"/>
      <c r="AA78" s="82"/>
      <c r="AB78" s="82"/>
      <c r="AC78" s="82"/>
      <c r="AD78" s="31"/>
      <c r="AE78" s="31"/>
      <c r="AF78" s="31"/>
      <c r="AG78" s="31"/>
      <c r="AH78" s="31"/>
      <c r="AI78" s="82"/>
      <c r="AJ78" s="31"/>
      <c r="AK78" s="31"/>
      <c r="AL78" s="31"/>
      <c r="AM78" s="31"/>
      <c r="AN78" s="31"/>
      <c r="AO78" s="82"/>
      <c r="AP78" s="82"/>
      <c r="AQ78" s="82"/>
      <c r="AR78" s="31"/>
      <c r="AS78" s="31"/>
      <c r="AT78" s="31"/>
      <c r="AU78" s="31"/>
    </row>
    <row r="79" spans="2:47" x14ac:dyDescent="0.25">
      <c r="B79" s="1"/>
      <c r="D79" s="1"/>
      <c r="E79" s="1"/>
      <c r="F79" s="1"/>
      <c r="G79" s="1"/>
      <c r="H79" s="1"/>
      <c r="I79" s="1"/>
      <c r="J79" s="1"/>
      <c r="K79" s="1"/>
      <c r="L79" s="1"/>
      <c r="Q79" s="31"/>
      <c r="R79" s="31"/>
      <c r="S79" s="31"/>
      <c r="T79" s="31"/>
      <c r="U79" s="31"/>
      <c r="V79" s="31"/>
      <c r="W79" s="82"/>
      <c r="X79" s="82"/>
      <c r="Y79" s="82"/>
      <c r="Z79" s="84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82"/>
      <c r="AL79" s="82"/>
      <c r="AM79" s="82"/>
      <c r="AN79" s="84"/>
      <c r="AO79" s="31"/>
      <c r="AP79" s="31"/>
      <c r="AQ79" s="31"/>
      <c r="AR79" s="31"/>
      <c r="AS79" s="31"/>
      <c r="AT79" s="31"/>
      <c r="AU79" s="31"/>
    </row>
    <row r="80" spans="2:47" x14ac:dyDescent="0.25">
      <c r="Q80" s="31"/>
      <c r="R80" s="31"/>
      <c r="S80" s="31"/>
      <c r="T80" s="40"/>
      <c r="U80" s="40"/>
      <c r="V80" s="40"/>
      <c r="W80" s="40"/>
      <c r="X80" s="40"/>
      <c r="Y80" s="40"/>
      <c r="Z80" s="85"/>
      <c r="AA80" s="85"/>
      <c r="AB80" s="40"/>
      <c r="AC80" s="40"/>
      <c r="AD80" s="40"/>
      <c r="AE80" s="31"/>
      <c r="AF80" s="31"/>
      <c r="AG80" s="31"/>
      <c r="AH80" s="40"/>
      <c r="AI80" s="40"/>
      <c r="AJ80" s="40"/>
      <c r="AK80" s="40"/>
      <c r="AL80" s="40"/>
      <c r="AM80" s="40"/>
      <c r="AN80" s="85"/>
      <c r="AO80" s="85"/>
      <c r="AP80" s="40"/>
      <c r="AQ80" s="40"/>
      <c r="AR80" s="40"/>
      <c r="AS80" s="31"/>
      <c r="AT80" s="31"/>
      <c r="AU80" s="31"/>
    </row>
    <row r="81" spans="7:47" x14ac:dyDescent="0.25">
      <c r="Q81" s="31"/>
      <c r="R81" s="31"/>
      <c r="S81" s="31"/>
      <c r="T81" s="83"/>
      <c r="U81" s="31"/>
      <c r="V81" s="31"/>
      <c r="W81" s="31"/>
      <c r="X81" s="31"/>
      <c r="Y81" s="31"/>
      <c r="Z81" s="83"/>
      <c r="AA81" s="83"/>
      <c r="AB81" s="31"/>
      <c r="AC81" s="31"/>
      <c r="AD81" s="31"/>
      <c r="AE81" s="31"/>
      <c r="AF81" s="31"/>
      <c r="AG81" s="31"/>
      <c r="AH81" s="83"/>
      <c r="AI81" s="31"/>
      <c r="AJ81" s="31"/>
      <c r="AK81" s="31"/>
      <c r="AL81" s="31"/>
      <c r="AM81" s="31"/>
      <c r="AN81" s="83"/>
      <c r="AO81" s="83"/>
      <c r="AP81" s="31"/>
      <c r="AQ81" s="31"/>
      <c r="AR81" s="31"/>
      <c r="AS81" s="31"/>
      <c r="AT81" s="31"/>
      <c r="AU81" s="31"/>
    </row>
    <row r="82" spans="7:47" x14ac:dyDescent="0.25">
      <c r="Q82" s="31"/>
      <c r="R82" s="31"/>
      <c r="S82" s="31"/>
      <c r="T82" s="83"/>
      <c r="U82" s="83"/>
      <c r="V82" s="83"/>
      <c r="W82" s="31"/>
      <c r="X82" s="31"/>
      <c r="Y82" s="31"/>
      <c r="Z82" s="83"/>
      <c r="AA82" s="32"/>
      <c r="AB82" s="32"/>
      <c r="AC82" s="32"/>
      <c r="AD82" s="31"/>
      <c r="AE82" s="31"/>
      <c r="AF82" s="31"/>
      <c r="AG82" s="31"/>
      <c r="AH82" s="83"/>
      <c r="AI82" s="83"/>
      <c r="AJ82" s="83"/>
      <c r="AK82" s="31"/>
      <c r="AL82" s="31"/>
      <c r="AM82" s="31"/>
      <c r="AN82" s="83"/>
      <c r="AO82" s="32"/>
      <c r="AP82" s="32"/>
      <c r="AQ82" s="32"/>
      <c r="AR82" s="31"/>
      <c r="AS82" s="31"/>
      <c r="AT82" s="31"/>
      <c r="AU82" s="31"/>
    </row>
    <row r="83" spans="7:47" x14ac:dyDescent="0.25">
      <c r="Q83" s="31"/>
      <c r="R83" s="31"/>
      <c r="S83" s="31"/>
      <c r="T83" s="31"/>
      <c r="U83" s="82"/>
      <c r="V83" s="31"/>
      <c r="W83" s="31"/>
      <c r="X83" s="31"/>
      <c r="Y83" s="31"/>
      <c r="Z83" s="31"/>
      <c r="AA83" s="82"/>
      <c r="AB83" s="82"/>
      <c r="AC83" s="82"/>
      <c r="AD83" s="31"/>
      <c r="AE83" s="31"/>
      <c r="AF83" s="31"/>
      <c r="AG83" s="31"/>
      <c r="AH83" s="31"/>
      <c r="AI83" s="82"/>
      <c r="AJ83" s="31"/>
      <c r="AK83" s="31"/>
      <c r="AL83" s="31"/>
      <c r="AM83" s="31"/>
      <c r="AN83" s="31"/>
      <c r="AO83" s="82"/>
      <c r="AP83" s="82"/>
      <c r="AQ83" s="82"/>
      <c r="AR83" s="31"/>
      <c r="AS83" s="31"/>
      <c r="AT83" s="31"/>
      <c r="AU83" s="31"/>
    </row>
    <row r="84" spans="7:47" x14ac:dyDescent="0.25">
      <c r="G84" s="2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7:47" x14ac:dyDescent="0.25"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7:47" x14ac:dyDescent="0.25">
      <c r="Q86" s="31"/>
      <c r="R86" s="31"/>
      <c r="S86" s="31"/>
      <c r="T86" s="83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83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7:47" x14ac:dyDescent="0.25">
      <c r="Q87" s="31"/>
      <c r="R87" s="31"/>
      <c r="S87" s="31"/>
      <c r="T87" s="31"/>
      <c r="U87" s="31"/>
      <c r="V87" s="31"/>
      <c r="W87" s="82"/>
      <c r="X87" s="82"/>
      <c r="Y87" s="82"/>
      <c r="Z87" s="84"/>
      <c r="AA87" s="82"/>
      <c r="AB87" s="82"/>
      <c r="AC87" s="82"/>
      <c r="AD87" s="82"/>
      <c r="AE87" s="31"/>
      <c r="AF87" s="31"/>
      <c r="AG87" s="31"/>
      <c r="AH87" s="31"/>
      <c r="AI87" s="31"/>
      <c r="AJ87" s="31"/>
      <c r="AK87" s="82"/>
      <c r="AL87" s="82"/>
      <c r="AM87" s="82"/>
      <c r="AN87" s="84"/>
      <c r="AO87" s="82"/>
      <c r="AP87" s="82"/>
      <c r="AQ87" s="82"/>
      <c r="AR87" s="82"/>
      <c r="AS87" s="31"/>
      <c r="AT87" s="31"/>
      <c r="AU87" s="31"/>
    </row>
    <row r="88" spans="7:47" x14ac:dyDescent="0.25">
      <c r="Q88" s="31"/>
      <c r="R88" s="31"/>
      <c r="S88" s="31"/>
      <c r="T88" s="40"/>
      <c r="U88" s="40"/>
      <c r="V88" s="40"/>
      <c r="W88" s="40"/>
      <c r="X88" s="40"/>
      <c r="Y88" s="40"/>
      <c r="Z88" s="85"/>
      <c r="AA88" s="85"/>
      <c r="AB88" s="40"/>
      <c r="AC88" s="40"/>
      <c r="AD88" s="40"/>
      <c r="AE88" s="31"/>
      <c r="AF88" s="31"/>
      <c r="AG88" s="31"/>
      <c r="AH88" s="40"/>
      <c r="AI88" s="40"/>
      <c r="AJ88" s="40"/>
      <c r="AK88" s="40"/>
      <c r="AL88" s="40"/>
      <c r="AM88" s="40"/>
      <c r="AN88" s="85"/>
      <c r="AO88" s="85"/>
      <c r="AP88" s="40"/>
      <c r="AQ88" s="40"/>
      <c r="AR88" s="40"/>
      <c r="AS88" s="31"/>
      <c r="AT88" s="31"/>
      <c r="AU88" s="31"/>
    </row>
    <row r="89" spans="7:47" x14ac:dyDescent="0.25">
      <c r="Q89" s="31"/>
      <c r="R89" s="31"/>
      <c r="S89" s="31"/>
      <c r="T89" s="83"/>
      <c r="U89" s="31"/>
      <c r="V89" s="31"/>
      <c r="W89" s="31"/>
      <c r="X89" s="31"/>
      <c r="Y89" s="31"/>
      <c r="Z89" s="83"/>
      <c r="AA89" s="83"/>
      <c r="AB89" s="31"/>
      <c r="AC89" s="31"/>
      <c r="AD89" s="31"/>
      <c r="AE89" s="31"/>
      <c r="AF89" s="31"/>
      <c r="AG89" s="31"/>
      <c r="AH89" s="83"/>
      <c r="AI89" s="31"/>
      <c r="AJ89" s="31"/>
      <c r="AK89" s="31"/>
      <c r="AL89" s="31"/>
      <c r="AM89" s="31"/>
      <c r="AN89" s="83"/>
      <c r="AO89" s="83"/>
      <c r="AP89" s="31"/>
      <c r="AQ89" s="31"/>
      <c r="AR89" s="31"/>
      <c r="AS89" s="31"/>
      <c r="AT89" s="31"/>
      <c r="AU89" s="31"/>
    </row>
    <row r="90" spans="7:47" x14ac:dyDescent="0.25">
      <c r="Q90" s="31"/>
      <c r="R90" s="31"/>
      <c r="S90" s="31"/>
      <c r="T90" s="83"/>
      <c r="U90" s="83"/>
      <c r="V90" s="83"/>
      <c r="W90" s="31"/>
      <c r="X90" s="31"/>
      <c r="Y90" s="31"/>
      <c r="Z90" s="83"/>
      <c r="AA90" s="32"/>
      <c r="AB90" s="32"/>
      <c r="AC90" s="32"/>
      <c r="AD90" s="31"/>
      <c r="AE90" s="31"/>
      <c r="AF90" s="31"/>
      <c r="AG90" s="31"/>
      <c r="AH90" s="83"/>
      <c r="AI90" s="83"/>
      <c r="AJ90" s="83"/>
      <c r="AK90" s="31"/>
      <c r="AL90" s="31"/>
      <c r="AM90" s="31"/>
      <c r="AN90" s="83"/>
      <c r="AO90" s="32"/>
      <c r="AP90" s="32"/>
      <c r="AQ90" s="32"/>
      <c r="AR90" s="31"/>
      <c r="AS90" s="31"/>
      <c r="AT90" s="31"/>
      <c r="AU90" s="31"/>
    </row>
    <row r="91" spans="7:47" x14ac:dyDescent="0.25">
      <c r="Q91" s="31"/>
      <c r="R91" s="31"/>
      <c r="S91" s="31"/>
      <c r="T91" s="86"/>
      <c r="U91" s="82"/>
      <c r="V91" s="31"/>
      <c r="W91" s="31"/>
      <c r="X91" s="31"/>
      <c r="Y91" s="31"/>
      <c r="Z91" s="31"/>
      <c r="AA91" s="82"/>
      <c r="AB91" s="82"/>
      <c r="AC91" s="82"/>
      <c r="AD91" s="31"/>
      <c r="AE91" s="31"/>
      <c r="AF91" s="31"/>
      <c r="AG91" s="31"/>
      <c r="AH91" s="86"/>
      <c r="AI91" s="82"/>
      <c r="AJ91" s="31"/>
      <c r="AK91" s="31"/>
      <c r="AL91" s="31"/>
      <c r="AM91" s="31"/>
      <c r="AN91" s="31"/>
      <c r="AO91" s="82"/>
      <c r="AP91" s="82"/>
      <c r="AQ91" s="82"/>
      <c r="AR91" s="31"/>
      <c r="AS91" s="31"/>
      <c r="AT91" s="31"/>
      <c r="AU91" s="31"/>
    </row>
    <row r="92" spans="7:47" x14ac:dyDescent="0.25">
      <c r="Q92" s="31"/>
      <c r="R92" s="31"/>
      <c r="S92" s="31"/>
      <c r="T92" s="31"/>
      <c r="U92" s="31"/>
      <c r="V92" s="31"/>
      <c r="W92" s="82"/>
      <c r="X92" s="82"/>
      <c r="Y92" s="82"/>
      <c r="Z92" s="84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82"/>
      <c r="AL92" s="82"/>
      <c r="AM92" s="82"/>
      <c r="AN92" s="84"/>
      <c r="AO92" s="31"/>
      <c r="AP92" s="31"/>
      <c r="AQ92" s="31"/>
      <c r="AR92" s="31"/>
      <c r="AS92" s="31"/>
      <c r="AT92" s="31"/>
      <c r="AU92" s="31"/>
    </row>
    <row r="93" spans="7:47" x14ac:dyDescent="0.25">
      <c r="Q93" s="31"/>
      <c r="R93" s="31"/>
      <c r="S93" s="31"/>
      <c r="T93" s="40"/>
      <c r="U93" s="40"/>
      <c r="V93" s="40"/>
      <c r="W93" s="40"/>
      <c r="X93" s="40"/>
      <c r="Y93" s="40"/>
      <c r="Z93" s="85"/>
      <c r="AA93" s="85"/>
      <c r="AB93" s="40"/>
      <c r="AC93" s="40"/>
      <c r="AD93" s="40"/>
      <c r="AE93" s="31"/>
      <c r="AF93" s="31"/>
      <c r="AG93" s="31"/>
      <c r="AH93" s="40"/>
      <c r="AI93" s="40"/>
      <c r="AJ93" s="40"/>
      <c r="AK93" s="40"/>
      <c r="AL93" s="40"/>
      <c r="AM93" s="40"/>
      <c r="AN93" s="85"/>
      <c r="AO93" s="85"/>
      <c r="AP93" s="40"/>
      <c r="AQ93" s="40"/>
      <c r="AR93" s="40"/>
      <c r="AS93" s="31"/>
      <c r="AT93" s="31"/>
      <c r="AU93" s="31"/>
    </row>
    <row r="94" spans="7:47" x14ac:dyDescent="0.25">
      <c r="Q94" s="31"/>
      <c r="R94" s="31"/>
      <c r="S94" s="31"/>
      <c r="T94" s="83"/>
      <c r="U94" s="31"/>
      <c r="V94" s="31"/>
      <c r="W94" s="31"/>
      <c r="X94" s="31"/>
      <c r="Y94" s="31"/>
      <c r="Z94" s="83"/>
      <c r="AA94" s="83"/>
      <c r="AB94" s="31"/>
      <c r="AC94" s="31"/>
      <c r="AD94" s="31"/>
      <c r="AE94" s="31"/>
      <c r="AF94" s="31"/>
      <c r="AG94" s="31"/>
      <c r="AH94" s="83"/>
      <c r="AI94" s="31"/>
      <c r="AJ94" s="31"/>
      <c r="AK94" s="31"/>
      <c r="AL94" s="31"/>
      <c r="AM94" s="31"/>
      <c r="AN94" s="83"/>
      <c r="AO94" s="83"/>
      <c r="AP94" s="31"/>
      <c r="AQ94" s="31"/>
      <c r="AR94" s="31"/>
      <c r="AS94" s="31"/>
      <c r="AT94" s="31"/>
      <c r="AU94" s="31"/>
    </row>
    <row r="95" spans="7:47" x14ac:dyDescent="0.25">
      <c r="Q95" s="31"/>
      <c r="R95" s="31"/>
      <c r="S95" s="31"/>
      <c r="T95" s="83"/>
      <c r="U95" s="83"/>
      <c r="V95" s="83"/>
      <c r="W95" s="31"/>
      <c r="X95" s="31"/>
      <c r="Y95" s="31"/>
      <c r="Z95" s="83"/>
      <c r="AA95" s="32"/>
      <c r="AB95" s="32"/>
      <c r="AC95" s="32"/>
      <c r="AD95" s="31"/>
      <c r="AE95" s="31"/>
      <c r="AF95" s="31"/>
      <c r="AG95" s="31"/>
      <c r="AH95" s="83"/>
      <c r="AI95" s="83"/>
      <c r="AJ95" s="83"/>
      <c r="AK95" s="31"/>
      <c r="AL95" s="31"/>
      <c r="AM95" s="31"/>
      <c r="AN95" s="83"/>
      <c r="AO95" s="32"/>
      <c r="AP95" s="32"/>
      <c r="AQ95" s="32"/>
      <c r="AR95" s="31"/>
      <c r="AS95" s="31"/>
      <c r="AT95" s="31"/>
      <c r="AU95" s="31"/>
    </row>
    <row r="96" spans="7:47" x14ac:dyDescent="0.25">
      <c r="Q96" s="31"/>
      <c r="R96" s="31"/>
      <c r="S96" s="31"/>
      <c r="T96" s="87"/>
      <c r="U96" s="82"/>
      <c r="V96" s="31"/>
      <c r="W96" s="31"/>
      <c r="X96" s="31"/>
      <c r="Y96" s="31"/>
      <c r="Z96" s="31"/>
      <c r="AA96" s="82"/>
      <c r="AB96" s="82"/>
      <c r="AC96" s="82"/>
      <c r="AD96" s="31"/>
      <c r="AE96" s="31"/>
      <c r="AF96" s="31"/>
      <c r="AG96" s="31"/>
      <c r="AH96" s="87"/>
      <c r="AI96" s="82"/>
      <c r="AJ96" s="31"/>
      <c r="AK96" s="31"/>
      <c r="AL96" s="31"/>
      <c r="AM96" s="31"/>
      <c r="AN96" s="31"/>
      <c r="AO96" s="82"/>
      <c r="AP96" s="82"/>
      <c r="AQ96" s="82"/>
      <c r="AR96" s="31"/>
      <c r="AS96" s="31"/>
      <c r="AT96" s="31"/>
      <c r="AU96" s="31"/>
    </row>
    <row r="97" spans="17:47" x14ac:dyDescent="0.25"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17:47" x14ac:dyDescent="0.25"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82"/>
      <c r="AB98" s="82"/>
      <c r="AC98" s="82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17:47" x14ac:dyDescent="0.25"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17:47" x14ac:dyDescent="0.25"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17:47" x14ac:dyDescent="0.25"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17:47" x14ac:dyDescent="0.25"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17:47" x14ac:dyDescent="0.25"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40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17:47" x14ac:dyDescent="0.25"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40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17:47" x14ac:dyDescent="0.25"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40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17:47" x14ac:dyDescent="0.25"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85"/>
      <c r="AC106" s="83"/>
      <c r="AD106" s="83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17:47" x14ac:dyDescent="0.25"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85"/>
      <c r="AC107" s="83"/>
      <c r="AD107" s="32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17:47" x14ac:dyDescent="0.25"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40"/>
      <c r="AC108" s="31"/>
      <c r="AD108" s="32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17:47" x14ac:dyDescent="0.25"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40"/>
      <c r="AC109" s="31"/>
      <c r="AD109" s="32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17:47" x14ac:dyDescent="0.25"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40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17:47" x14ac:dyDescent="0.25"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17:47" x14ac:dyDescent="0.25"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40"/>
      <c r="AC112" s="40"/>
      <c r="AD112" s="40"/>
      <c r="AE112" s="85"/>
      <c r="AF112" s="85"/>
      <c r="AG112" s="40"/>
      <c r="AH112" s="40"/>
      <c r="AI112" s="40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17:47" x14ac:dyDescent="0.25"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83"/>
      <c r="AF113" s="83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17:47" x14ac:dyDescent="0.25"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83"/>
      <c r="AF114" s="32"/>
      <c r="AG114" s="32"/>
      <c r="AH114" s="32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17:47" x14ac:dyDescent="0.25"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17:47" x14ac:dyDescent="0.25"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17:47" x14ac:dyDescent="0.25"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17:47" x14ac:dyDescent="0.25"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17:47" x14ac:dyDescent="0.25"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17:47" x14ac:dyDescent="0.25"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9797-7AFB-4F7A-A179-51F517F2EC90}">
  <dimension ref="A1:AK98"/>
  <sheetViews>
    <sheetView zoomScale="130" zoomScaleNormal="130" workbookViewId="0">
      <selection activeCell="R19" sqref="R19"/>
    </sheetView>
  </sheetViews>
  <sheetFormatPr defaultRowHeight="15" x14ac:dyDescent="0.25"/>
  <cols>
    <col min="1" max="1" width="10.85546875" customWidth="1"/>
    <col min="2" max="2" width="13.85546875" customWidth="1"/>
    <col min="3" max="3" width="11.7109375" customWidth="1"/>
    <col min="5" max="5" width="12.5703125" customWidth="1"/>
    <col min="9" max="9" width="10.85546875" customWidth="1"/>
    <col min="17" max="17" width="12.28515625" customWidth="1"/>
    <col min="18" max="18" width="8.5703125" customWidth="1"/>
    <col min="19" max="19" width="7.7109375" customWidth="1"/>
    <col min="20" max="20" width="6.42578125" customWidth="1"/>
    <col min="21" max="21" width="6.5703125" customWidth="1"/>
    <col min="22" max="22" width="5.7109375" customWidth="1"/>
    <col min="23" max="23" width="6.140625" customWidth="1"/>
    <col min="24" max="24" width="6" customWidth="1"/>
    <col min="25" max="25" width="5.140625" customWidth="1"/>
    <col min="26" max="26" width="5.85546875" customWidth="1"/>
    <col min="27" max="27" width="5.7109375" customWidth="1"/>
    <col min="28" max="28" width="13.28515625" customWidth="1"/>
  </cols>
  <sheetData>
    <row r="1" spans="2:32" x14ac:dyDescent="0.25">
      <c r="O1" s="6"/>
    </row>
    <row r="2" spans="2:32" x14ac:dyDescent="0.25">
      <c r="O2" s="6"/>
    </row>
    <row r="3" spans="2:32" ht="15.75" thickBot="1" x14ac:dyDescent="0.3">
      <c r="B3" s="1" t="s">
        <v>1</v>
      </c>
      <c r="O3" s="6"/>
      <c r="Q3" s="1" t="s">
        <v>0</v>
      </c>
      <c r="X3" s="8">
        <f>(1+V4)*X7</f>
        <v>158.43648208469057</v>
      </c>
      <c r="Y3" s="8">
        <f>(1+U4)*Y7</f>
        <v>162.25752508361202</v>
      </c>
      <c r="Z3" s="8">
        <f>(1+T4)*Z7</f>
        <v>176.61538461538461</v>
      </c>
    </row>
    <row r="4" spans="2:32" x14ac:dyDescent="0.25">
      <c r="C4" t="s">
        <v>9</v>
      </c>
      <c r="D4" t="s">
        <v>10</v>
      </c>
      <c r="E4" t="s">
        <v>11</v>
      </c>
      <c r="O4" s="6"/>
      <c r="P4" s="9"/>
      <c r="Q4" s="10"/>
      <c r="R4" s="10"/>
      <c r="S4" s="10"/>
      <c r="T4" s="11">
        <f>(T6/AA6)-1</f>
        <v>7.6923076923076872E-2</v>
      </c>
      <c r="U4" s="11">
        <f>(U6/Z6)-1</f>
        <v>4.6822742474916357E-2</v>
      </c>
      <c r="V4" s="11">
        <f>(V6/Y6)-1</f>
        <v>4.2345276872964188E-2</v>
      </c>
      <c r="W4" s="12">
        <f>AVERAGE(T4:V4)</f>
        <v>5.5363698756985803E-2</v>
      </c>
      <c r="X4" s="11"/>
      <c r="Y4" s="11"/>
      <c r="Z4" s="11"/>
      <c r="AA4" s="29"/>
    </row>
    <row r="5" spans="2:32" x14ac:dyDescent="0.25">
      <c r="B5" s="2" t="s">
        <v>2</v>
      </c>
      <c r="C5" s="2" t="s">
        <v>4</v>
      </c>
      <c r="D5" s="2" t="s">
        <v>6</v>
      </c>
      <c r="E5" s="2" t="s">
        <v>5</v>
      </c>
      <c r="F5" s="2" t="s">
        <v>7</v>
      </c>
      <c r="G5" s="2" t="s">
        <v>8</v>
      </c>
      <c r="O5" s="6"/>
      <c r="P5" s="14" t="s">
        <v>42</v>
      </c>
      <c r="Q5" s="15" t="s">
        <v>25</v>
      </c>
      <c r="R5" s="15" t="s">
        <v>27</v>
      </c>
      <c r="S5" s="15" t="s">
        <v>28</v>
      </c>
      <c r="T5" s="15" t="s">
        <v>31</v>
      </c>
      <c r="U5" s="15" t="s">
        <v>32</v>
      </c>
      <c r="V5" s="15" t="s">
        <v>33</v>
      </c>
      <c r="W5" s="16" t="s">
        <v>34</v>
      </c>
      <c r="X5" s="16" t="s">
        <v>35</v>
      </c>
      <c r="Y5" s="15" t="s">
        <v>36</v>
      </c>
      <c r="Z5" s="15" t="s">
        <v>37</v>
      </c>
      <c r="AA5" s="17" t="s">
        <v>39</v>
      </c>
    </row>
    <row r="6" spans="2:32" x14ac:dyDescent="0.25">
      <c r="B6" s="3">
        <v>2.0833333333333333E-3</v>
      </c>
      <c r="C6">
        <v>1196</v>
      </c>
      <c r="D6">
        <v>303</v>
      </c>
      <c r="E6">
        <v>160</v>
      </c>
      <c r="F6">
        <v>154</v>
      </c>
      <c r="G6">
        <v>153</v>
      </c>
      <c r="O6" s="6"/>
      <c r="P6" s="14"/>
      <c r="Q6" s="18" t="s">
        <v>29</v>
      </c>
      <c r="R6" s="19">
        <v>615</v>
      </c>
      <c r="S6" s="19">
        <v>636</v>
      </c>
      <c r="T6" s="19">
        <v>280</v>
      </c>
      <c r="U6" s="19">
        <v>313</v>
      </c>
      <c r="V6" s="19">
        <v>320</v>
      </c>
      <c r="W6" s="18">
        <v>311</v>
      </c>
      <c r="X6" s="18">
        <v>309</v>
      </c>
      <c r="Y6" s="19">
        <v>307</v>
      </c>
      <c r="Z6" s="19">
        <v>299</v>
      </c>
      <c r="AA6" s="20">
        <v>260</v>
      </c>
    </row>
    <row r="7" spans="2:32" x14ac:dyDescent="0.25">
      <c r="B7" s="3">
        <v>3.472222222222222E-3</v>
      </c>
      <c r="C7">
        <v>1186</v>
      </c>
      <c r="D7">
        <v>300</v>
      </c>
      <c r="E7">
        <v>159</v>
      </c>
      <c r="F7">
        <v>154</v>
      </c>
      <c r="G7">
        <v>152</v>
      </c>
      <c r="O7" s="6"/>
      <c r="P7" s="14"/>
      <c r="Q7" s="18" t="s">
        <v>30</v>
      </c>
      <c r="R7" s="18">
        <f>R6*(1-W4)</f>
        <v>580.95132526445377</v>
      </c>
      <c r="S7" s="18">
        <f>S6</f>
        <v>636</v>
      </c>
      <c r="T7" s="19">
        <v>160</v>
      </c>
      <c r="U7" s="19">
        <v>153</v>
      </c>
      <c r="V7" s="19">
        <v>148</v>
      </c>
      <c r="W7" s="18">
        <v>157</v>
      </c>
      <c r="X7" s="21">
        <v>152</v>
      </c>
      <c r="Y7" s="21">
        <v>155</v>
      </c>
      <c r="Z7" s="21">
        <v>164</v>
      </c>
      <c r="AA7" s="20"/>
      <c r="AC7" s="1" t="s">
        <v>16</v>
      </c>
      <c r="AD7" s="1" t="s">
        <v>17</v>
      </c>
      <c r="AE7" s="1" t="s">
        <v>18</v>
      </c>
      <c r="AF7" s="1" t="s">
        <v>19</v>
      </c>
    </row>
    <row r="8" spans="2:32" ht="15.75" thickBot="1" x14ac:dyDescent="0.3">
      <c r="B8" s="3">
        <v>5.6944444444444443E-2</v>
      </c>
      <c r="C8">
        <v>1192</v>
      </c>
      <c r="D8">
        <v>300</v>
      </c>
      <c r="E8">
        <v>160</v>
      </c>
      <c r="F8">
        <v>154</v>
      </c>
      <c r="G8">
        <v>153</v>
      </c>
      <c r="O8" s="6"/>
      <c r="P8" s="22"/>
      <c r="Q8" s="30"/>
      <c r="R8" s="24">
        <f>-((S7/R7)-1)</f>
        <v>-9.4756087716105331E-2</v>
      </c>
      <c r="S8" s="25"/>
      <c r="T8" s="26">
        <f>(1-T4)*T7</f>
        <v>147.69230769230771</v>
      </c>
      <c r="U8" s="26">
        <f>(1-U4)*U7</f>
        <v>145.83612040133781</v>
      </c>
      <c r="V8" s="26">
        <f>(1-V4)*V7</f>
        <v>141.73289902280129</v>
      </c>
      <c r="W8" s="27"/>
      <c r="X8" s="24">
        <f>(X7/V8)-1</f>
        <v>7.243978672550111E-2</v>
      </c>
      <c r="Y8" s="24">
        <f>(Y7/U8)-1</f>
        <v>6.2836830638688168E-2</v>
      </c>
      <c r="Z8" s="24">
        <f>(Z7/T8)-1</f>
        <v>0.11041666666666661</v>
      </c>
      <c r="AA8" s="28"/>
    </row>
    <row r="9" spans="2:32" x14ac:dyDescent="0.25">
      <c r="O9" s="6"/>
      <c r="P9" s="9"/>
      <c r="Q9" s="10"/>
      <c r="R9" s="10"/>
      <c r="S9" s="10"/>
      <c r="T9" s="11">
        <f>(T11/AA11)-1</f>
        <v>0</v>
      </c>
      <c r="U9" s="11">
        <f>(U11/Z11)-1</f>
        <v>3.2894736842106198E-3</v>
      </c>
      <c r="V9" s="11">
        <f>(V11/Y11)-1</f>
        <v>1.2738853503184711E-2</v>
      </c>
      <c r="W9" s="12">
        <f>AVERAGE(T9:V9)</f>
        <v>5.3427757291317768E-3</v>
      </c>
      <c r="X9" s="10"/>
      <c r="Y9" s="10"/>
      <c r="Z9" s="10"/>
      <c r="AA9" s="13"/>
      <c r="AC9" s="39">
        <v>273</v>
      </c>
      <c r="AD9" s="39">
        <v>307</v>
      </c>
      <c r="AE9" s="39">
        <v>307</v>
      </c>
      <c r="AF9" s="39">
        <v>300</v>
      </c>
    </row>
    <row r="10" spans="2:32" x14ac:dyDescent="0.25">
      <c r="B10" s="2" t="s">
        <v>3</v>
      </c>
      <c r="C10" s="2" t="s">
        <v>4</v>
      </c>
      <c r="D10" s="2" t="s">
        <v>6</v>
      </c>
      <c r="E10" s="2" t="s">
        <v>5</v>
      </c>
      <c r="F10" s="2" t="s">
        <v>7</v>
      </c>
      <c r="G10" s="2" t="s">
        <v>8</v>
      </c>
      <c r="O10" s="6"/>
      <c r="P10" s="14" t="s">
        <v>38</v>
      </c>
      <c r="Q10" s="15" t="s">
        <v>26</v>
      </c>
      <c r="R10" s="15" t="s">
        <v>27</v>
      </c>
      <c r="S10" s="15" t="s">
        <v>28</v>
      </c>
      <c r="T10" s="15" t="s">
        <v>31</v>
      </c>
      <c r="U10" s="15" t="s">
        <v>32</v>
      </c>
      <c r="V10" s="15" t="s">
        <v>33</v>
      </c>
      <c r="W10" s="16" t="s">
        <v>34</v>
      </c>
      <c r="X10" s="16" t="s">
        <v>35</v>
      </c>
      <c r="Y10" s="15" t="s">
        <v>36</v>
      </c>
      <c r="Z10" s="15" t="s">
        <v>37</v>
      </c>
      <c r="AA10" s="17" t="s">
        <v>39</v>
      </c>
      <c r="AC10">
        <f>(285+253)/2</f>
        <v>269</v>
      </c>
      <c r="AD10">
        <v>309</v>
      </c>
      <c r="AE10">
        <v>315</v>
      </c>
      <c r="AF10">
        <v>317</v>
      </c>
    </row>
    <row r="11" spans="2:32" x14ac:dyDescent="0.25">
      <c r="B11" s="3">
        <v>8.3333333333333329E-2</v>
      </c>
      <c r="C11">
        <v>1274</v>
      </c>
      <c r="D11">
        <v>313</v>
      </c>
      <c r="E11">
        <v>162</v>
      </c>
      <c r="F11">
        <v>153</v>
      </c>
      <c r="G11">
        <v>155</v>
      </c>
      <c r="O11" s="6"/>
      <c r="P11" s="14"/>
      <c r="Q11" s="18" t="s">
        <v>29</v>
      </c>
      <c r="R11" s="19">
        <v>638</v>
      </c>
      <c r="S11" s="19">
        <v>625</v>
      </c>
      <c r="T11" s="19">
        <v>265</v>
      </c>
      <c r="U11" s="19">
        <v>305</v>
      </c>
      <c r="V11" s="19">
        <v>318</v>
      </c>
      <c r="W11" s="18">
        <v>318</v>
      </c>
      <c r="X11" s="18">
        <v>318</v>
      </c>
      <c r="Y11" s="19">
        <v>314</v>
      </c>
      <c r="Z11" s="19">
        <v>304</v>
      </c>
      <c r="AA11" s="20">
        <v>265</v>
      </c>
    </row>
    <row r="12" spans="2:32" x14ac:dyDescent="0.25">
      <c r="B12" s="3">
        <v>0.10069444444444443</v>
      </c>
      <c r="C12">
        <v>1248</v>
      </c>
      <c r="D12">
        <v>316</v>
      </c>
      <c r="E12">
        <v>162</v>
      </c>
      <c r="F12">
        <v>154</v>
      </c>
      <c r="G12">
        <v>153</v>
      </c>
      <c r="O12" s="6"/>
      <c r="P12" s="14"/>
      <c r="Q12" s="18" t="s">
        <v>30</v>
      </c>
      <c r="R12" s="18">
        <f>R11*(1-W9)</f>
        <v>634.59130908481393</v>
      </c>
      <c r="S12" s="18">
        <f>S11</f>
        <v>625</v>
      </c>
      <c r="T12" s="19">
        <v>165</v>
      </c>
      <c r="U12" s="19">
        <v>156</v>
      </c>
      <c r="V12" s="19">
        <v>155</v>
      </c>
      <c r="W12" s="18">
        <v>159</v>
      </c>
      <c r="X12" s="21">
        <v>147</v>
      </c>
      <c r="Y12" s="19">
        <v>152</v>
      </c>
      <c r="Z12" s="19">
        <v>165</v>
      </c>
      <c r="AA12" s="20"/>
      <c r="AC12" s="39">
        <v>265</v>
      </c>
      <c r="AD12" s="39">
        <v>310</v>
      </c>
      <c r="AE12" s="39">
        <v>312</v>
      </c>
      <c r="AF12" s="39">
        <v>304</v>
      </c>
    </row>
    <row r="13" spans="2:32" ht="15.75" thickBot="1" x14ac:dyDescent="0.3">
      <c r="B13" s="3">
        <v>0.1173611111111111</v>
      </c>
      <c r="C13">
        <v>1250</v>
      </c>
      <c r="D13">
        <v>315</v>
      </c>
      <c r="E13">
        <v>162</v>
      </c>
      <c r="F13">
        <v>152</v>
      </c>
      <c r="G13">
        <v>154</v>
      </c>
      <c r="O13" s="6"/>
      <c r="P13" s="22"/>
      <c r="Q13" s="23"/>
      <c r="R13" s="24">
        <f>(S12/R12)-1</f>
        <v>-1.5114151340405502E-2</v>
      </c>
      <c r="S13" s="25"/>
      <c r="T13" s="26">
        <f>(1-T9)*T12</f>
        <v>165</v>
      </c>
      <c r="U13" s="26">
        <f>(1-U9)*U12</f>
        <v>155.48684210526315</v>
      </c>
      <c r="V13" s="26">
        <f>(1-V9)*V12</f>
        <v>153.02547770700636</v>
      </c>
      <c r="W13" s="27"/>
      <c r="X13" s="24">
        <f>(X12/V13)-1</f>
        <v>-3.9375650364203874E-2</v>
      </c>
      <c r="Y13" s="24">
        <f>(Y12/U13)-1</f>
        <v>-2.2425319455022352E-2</v>
      </c>
      <c r="Z13" s="24">
        <f>(Z12/T13)-1</f>
        <v>0</v>
      </c>
      <c r="AA13" s="28"/>
      <c r="AC13">
        <v>275</v>
      </c>
      <c r="AD13">
        <v>303</v>
      </c>
      <c r="AE13">
        <v>316</v>
      </c>
      <c r="AF13">
        <v>318</v>
      </c>
    </row>
    <row r="14" spans="2:32" x14ac:dyDescent="0.25">
      <c r="B14" s="3">
        <v>0.14305555555555557</v>
      </c>
      <c r="C14">
        <v>1280</v>
      </c>
      <c r="D14">
        <v>317</v>
      </c>
      <c r="E14">
        <v>163</v>
      </c>
      <c r="F14">
        <v>154</v>
      </c>
      <c r="G14">
        <v>155</v>
      </c>
      <c r="O14" s="6"/>
      <c r="P14" s="9" t="s">
        <v>40</v>
      </c>
      <c r="Q14" s="10"/>
      <c r="R14" s="10"/>
      <c r="S14" s="10"/>
      <c r="T14" s="11">
        <f>(T16/AA16)-1</f>
        <v>-1.4981273408239737E-2</v>
      </c>
      <c r="U14" s="11">
        <f>(U16/Z16)-1</f>
        <v>-1.655629139072845E-2</v>
      </c>
      <c r="V14" s="11">
        <f>(V16/Y16)-1</f>
        <v>-6.4308681672026191E-3</v>
      </c>
      <c r="W14" s="12">
        <f>AVERAGE(T14:V14)</f>
        <v>-1.2656144322056936E-2</v>
      </c>
      <c r="X14" s="10"/>
      <c r="Y14" s="10"/>
      <c r="Z14" s="10"/>
      <c r="AA14" s="13"/>
    </row>
    <row r="15" spans="2:32" x14ac:dyDescent="0.25">
      <c r="B15" s="3">
        <v>0.14652777777777778</v>
      </c>
      <c r="C15">
        <v>1256</v>
      </c>
      <c r="D15">
        <v>316</v>
      </c>
      <c r="E15">
        <v>163</v>
      </c>
      <c r="F15">
        <v>153</v>
      </c>
      <c r="G15">
        <v>152</v>
      </c>
      <c r="O15" s="6"/>
      <c r="P15" s="14"/>
      <c r="Q15" s="15" t="s">
        <v>26</v>
      </c>
      <c r="R15" s="15" t="s">
        <v>27</v>
      </c>
      <c r="S15" s="15" t="s">
        <v>28</v>
      </c>
      <c r="T15" s="15" t="s">
        <v>31</v>
      </c>
      <c r="U15" s="15" t="s">
        <v>32</v>
      </c>
      <c r="V15" s="15" t="s">
        <v>33</v>
      </c>
      <c r="W15" s="16" t="s">
        <v>34</v>
      </c>
      <c r="X15" s="16" t="s">
        <v>35</v>
      </c>
      <c r="Y15" s="15" t="s">
        <v>36</v>
      </c>
      <c r="Z15" s="15" t="s">
        <v>37</v>
      </c>
      <c r="AA15" s="17" t="s">
        <v>39</v>
      </c>
      <c r="AC15" s="41" t="s">
        <v>45</v>
      </c>
      <c r="AF15" t="s">
        <v>46</v>
      </c>
    </row>
    <row r="16" spans="2:32" x14ac:dyDescent="0.25">
      <c r="O16" s="6"/>
      <c r="P16" s="14"/>
      <c r="Q16" s="18" t="s">
        <v>29</v>
      </c>
      <c r="R16" s="19">
        <v>635</v>
      </c>
      <c r="S16" s="19">
        <v>629</v>
      </c>
      <c r="T16" s="19">
        <v>263</v>
      </c>
      <c r="U16" s="19">
        <v>297</v>
      </c>
      <c r="V16" s="19">
        <v>309</v>
      </c>
      <c r="W16" s="18">
        <v>313</v>
      </c>
      <c r="X16" s="18">
        <v>311</v>
      </c>
      <c r="Y16" s="19">
        <v>311</v>
      </c>
      <c r="Z16" s="19">
        <v>302</v>
      </c>
      <c r="AA16" s="20">
        <v>267</v>
      </c>
      <c r="AC16">
        <v>1</v>
      </c>
      <c r="AD16">
        <v>2</v>
      </c>
      <c r="AE16">
        <v>3</v>
      </c>
      <c r="AF16">
        <v>4</v>
      </c>
    </row>
    <row r="17" spans="1:32" x14ac:dyDescent="0.25">
      <c r="E17" s="5"/>
      <c r="F17" s="5"/>
      <c r="G17" s="5"/>
      <c r="O17" s="6"/>
      <c r="P17" s="14"/>
      <c r="Q17" s="18" t="s">
        <v>30</v>
      </c>
      <c r="R17" s="18">
        <f>R16*(1-W14)</f>
        <v>643.03665164450615</v>
      </c>
      <c r="S17" s="18">
        <f>S16</f>
        <v>629</v>
      </c>
      <c r="T17" s="19">
        <v>161</v>
      </c>
      <c r="U17" s="19">
        <v>159</v>
      </c>
      <c r="V17" s="19">
        <v>156</v>
      </c>
      <c r="W17" s="18">
        <v>161</v>
      </c>
      <c r="X17" s="21">
        <v>149</v>
      </c>
      <c r="Y17" s="19">
        <v>154</v>
      </c>
      <c r="Z17" s="19">
        <v>165</v>
      </c>
      <c r="AA17" s="20"/>
      <c r="AB17" t="s">
        <v>47</v>
      </c>
      <c r="AC17" s="1">
        <f>AVERAGE(AC10,AC13)</f>
        <v>272</v>
      </c>
      <c r="AD17" s="1">
        <f>AVERAGE(AD10,AD13)</f>
        <v>306</v>
      </c>
      <c r="AE17" s="1">
        <f>AVERAGE(AE10,AE13)</f>
        <v>315.5</v>
      </c>
      <c r="AF17" s="1">
        <f>AVERAGE(AF10,AF13)</f>
        <v>317.5</v>
      </c>
    </row>
    <row r="18" spans="1:32" ht="15.75" thickBot="1" x14ac:dyDescent="0.3">
      <c r="B18" s="1" t="s">
        <v>0</v>
      </c>
      <c r="E18" s="5"/>
      <c r="F18" s="5"/>
      <c r="G18" s="5"/>
      <c r="O18" s="6"/>
      <c r="P18" s="22"/>
      <c r="Q18" s="25"/>
      <c r="R18" s="24">
        <f>(S17/R17)-1</f>
        <v>-2.18286960915971E-2</v>
      </c>
      <c r="S18" s="25"/>
      <c r="T18" s="26">
        <f>(1-T14)*T17</f>
        <v>163.4119850187266</v>
      </c>
      <c r="U18" s="26">
        <f>(1-U14)*U17</f>
        <v>161.63245033112582</v>
      </c>
      <c r="V18" s="26">
        <f>(1-V14)*V17</f>
        <v>157.00321543408359</v>
      </c>
      <c r="W18" s="27"/>
      <c r="X18" s="24">
        <f>(X17/V18)-1</f>
        <v>-5.097485049561723E-2</v>
      </c>
      <c r="Y18" s="24">
        <f>(Y17/U18)-1</f>
        <v>-4.7221027185380904E-2</v>
      </c>
      <c r="Z18" s="24">
        <f>(Z17/T18)-1</f>
        <v>9.7178611537667159E-3</v>
      </c>
      <c r="AA18" s="28"/>
    </row>
    <row r="19" spans="1:32" x14ac:dyDescent="0.25">
      <c r="E19" s="5"/>
      <c r="F19" s="5"/>
      <c r="G19" s="5"/>
      <c r="O19" s="6"/>
      <c r="P19" s="9" t="s">
        <v>41</v>
      </c>
      <c r="Q19" s="10"/>
      <c r="R19" s="10"/>
      <c r="S19" s="10"/>
      <c r="T19" s="11">
        <f>(T21/AA21)-1</f>
        <v>-2.9739776951672847E-2</v>
      </c>
      <c r="U19" s="11">
        <f>(U21/Z21)-1</f>
        <v>-3.2679738562091498E-2</v>
      </c>
      <c r="V19" s="11">
        <f>(V21/Y21)-1</f>
        <v>-1.2820512820512775E-2</v>
      </c>
      <c r="W19" s="12">
        <f>AVERAGE(T19:V19)</f>
        <v>-2.5080009444759039E-2</v>
      </c>
      <c r="X19" s="10"/>
      <c r="Y19" s="10"/>
      <c r="Z19" s="10"/>
      <c r="AA19" s="13"/>
      <c r="AB19" t="s">
        <v>48</v>
      </c>
      <c r="AC19">
        <f>(AA6+T11+T16+T21+AA29+T34)/6</f>
        <v>263.16666666666669</v>
      </c>
      <c r="AD19">
        <f>(Z6+U11+U16+U21+Z29+U34)/6</f>
        <v>303.33333333333331</v>
      </c>
      <c r="AE19">
        <f>(Y6+V11+V16+V21+Y29+V34)/6</f>
        <v>312.83333333333331</v>
      </c>
      <c r="AF19">
        <f>(X6+W11+W16+W21+X29+W34)/6</f>
        <v>312.33333333333331</v>
      </c>
    </row>
    <row r="20" spans="1:32" x14ac:dyDescent="0.25">
      <c r="B20" s="2" t="s">
        <v>2</v>
      </c>
      <c r="C20" s="2" t="s">
        <v>4</v>
      </c>
      <c r="D20" s="2" t="s">
        <v>6</v>
      </c>
      <c r="E20" s="2" t="s">
        <v>5</v>
      </c>
      <c r="F20" s="2" t="s">
        <v>7</v>
      </c>
      <c r="G20" s="2" t="s">
        <v>8</v>
      </c>
      <c r="H20" s="2" t="s">
        <v>14</v>
      </c>
      <c r="O20" s="6"/>
      <c r="P20" s="14"/>
      <c r="Q20" s="15" t="s">
        <v>26</v>
      </c>
      <c r="R20" s="15" t="s">
        <v>27</v>
      </c>
      <c r="S20" s="15" t="s">
        <v>28</v>
      </c>
      <c r="T20" s="15" t="s">
        <v>31</v>
      </c>
      <c r="U20" s="15" t="s">
        <v>32</v>
      </c>
      <c r="V20" s="15" t="s">
        <v>33</v>
      </c>
      <c r="W20" s="16" t="s">
        <v>34</v>
      </c>
      <c r="X20" s="16" t="s">
        <v>35</v>
      </c>
      <c r="Y20" s="15" t="s">
        <v>36</v>
      </c>
      <c r="Z20" s="15" t="s">
        <v>37</v>
      </c>
      <c r="AA20" s="17" t="s">
        <v>39</v>
      </c>
    </row>
    <row r="21" spans="1:32" x14ac:dyDescent="0.25">
      <c r="B21" s="3">
        <v>1.4583333333333332E-2</v>
      </c>
      <c r="C21">
        <v>1190</v>
      </c>
      <c r="D21">
        <v>313</v>
      </c>
      <c r="E21">
        <v>159</v>
      </c>
      <c r="F21">
        <v>155</v>
      </c>
      <c r="G21">
        <v>154</v>
      </c>
      <c r="O21" s="6"/>
      <c r="P21" s="14"/>
      <c r="Q21" s="18" t="s">
        <v>29</v>
      </c>
      <c r="R21" s="19">
        <v>640</v>
      </c>
      <c r="S21" s="19">
        <v>617</v>
      </c>
      <c r="T21" s="19">
        <v>261</v>
      </c>
      <c r="U21" s="19">
        <v>296</v>
      </c>
      <c r="V21" s="19">
        <v>308</v>
      </c>
      <c r="W21" s="18">
        <v>308</v>
      </c>
      <c r="X21" s="18">
        <v>309</v>
      </c>
      <c r="Y21" s="19">
        <v>312</v>
      </c>
      <c r="Z21" s="19">
        <v>306</v>
      </c>
      <c r="AA21" s="20">
        <v>269</v>
      </c>
      <c r="AC21" s="7">
        <f>1-(AC17/AC19)</f>
        <v>-3.3565547815072705E-2</v>
      </c>
      <c r="AD21" s="7">
        <f>1-(AD17/AD19)</f>
        <v>-8.79120879120876E-3</v>
      </c>
      <c r="AE21" s="7">
        <f>1-(AE17/AE19)</f>
        <v>-8.5242408098029632E-3</v>
      </c>
      <c r="AF21" s="7">
        <f>1-(AF17/AF19)</f>
        <v>-1.6542155816435589E-2</v>
      </c>
    </row>
    <row r="22" spans="1:32" x14ac:dyDescent="0.25">
      <c r="B22" s="3">
        <v>3.125E-2</v>
      </c>
      <c r="C22">
        <v>1170</v>
      </c>
      <c r="D22">
        <v>304</v>
      </c>
      <c r="E22">
        <v>158</v>
      </c>
      <c r="F22">
        <v>154</v>
      </c>
      <c r="G22">
        <v>153</v>
      </c>
      <c r="H22">
        <v>265</v>
      </c>
      <c r="O22" s="6"/>
      <c r="P22" s="14"/>
      <c r="Q22" s="18" t="s">
        <v>30</v>
      </c>
      <c r="R22" s="18">
        <f>R21*(1-W19)</f>
        <v>656.05120604464571</v>
      </c>
      <c r="S22" s="18">
        <f>S21</f>
        <v>617</v>
      </c>
      <c r="T22" s="19">
        <v>163</v>
      </c>
      <c r="U22" s="19">
        <v>158</v>
      </c>
      <c r="V22" s="19">
        <v>154</v>
      </c>
      <c r="W22" s="18">
        <v>158</v>
      </c>
      <c r="X22" s="21">
        <v>147</v>
      </c>
      <c r="Y22" s="21">
        <v>152</v>
      </c>
      <c r="Z22" s="21">
        <v>158</v>
      </c>
      <c r="AA22" s="20"/>
    </row>
    <row r="23" spans="1:32" ht="15.75" thickBot="1" x14ac:dyDescent="0.3">
      <c r="O23" s="6"/>
      <c r="P23" s="22"/>
      <c r="Q23" s="25"/>
      <c r="R23" s="24">
        <f>(S22/R22)-1</f>
        <v>-5.9524631133729189E-2</v>
      </c>
      <c r="S23" s="25"/>
      <c r="T23" s="26">
        <f>(1-T19)*T22</f>
        <v>167.8475836431227</v>
      </c>
      <c r="U23" s="26">
        <f>(1-U19)*U22</f>
        <v>163.16339869281043</v>
      </c>
      <c r="V23" s="26">
        <f>(1-V19)*V22</f>
        <v>155.97435897435898</v>
      </c>
      <c r="W23" s="27"/>
      <c r="X23" s="24">
        <f>(X22/V23)-1</f>
        <v>-5.7537399309551263E-2</v>
      </c>
      <c r="Y23" s="24">
        <f>(Y22/U23)-1</f>
        <v>-6.8418522672648474E-2</v>
      </c>
      <c r="Z23" s="24">
        <f>(Z22/T23)-1</f>
        <v>-5.8669796903723204E-2</v>
      </c>
      <c r="AA23" s="28"/>
      <c r="AD23" s="42">
        <f>AVERAGE(AC21:AF21)</f>
        <v>-1.6855788308130004E-2</v>
      </c>
    </row>
    <row r="24" spans="1:32" x14ac:dyDescent="0.25">
      <c r="L24">
        <v>1170</v>
      </c>
      <c r="O24" s="6"/>
    </row>
    <row r="25" spans="1:32" x14ac:dyDescent="0.25">
      <c r="B25" s="2" t="s">
        <v>3</v>
      </c>
      <c r="C25" s="2" t="s">
        <v>4</v>
      </c>
      <c r="D25" s="2" t="s">
        <v>6</v>
      </c>
      <c r="E25" s="2" t="s">
        <v>5</v>
      </c>
      <c r="F25" s="2" t="s">
        <v>7</v>
      </c>
      <c r="G25" s="2" t="s">
        <v>8</v>
      </c>
      <c r="H25" s="2" t="s">
        <v>14</v>
      </c>
      <c r="K25">
        <f>318/304</f>
        <v>1.0460526315789473</v>
      </c>
      <c r="L25">
        <f>K25*C27</f>
        <v>1353.5921052631579</v>
      </c>
      <c r="O25" s="6"/>
      <c r="AB25" t="s">
        <v>56</v>
      </c>
      <c r="AC25">
        <f>(T6+AA11+AA21+T29+AA34+AA16)/6</f>
        <v>272.33333333333331</v>
      </c>
      <c r="AD25">
        <f>(U6+Z11+Z16+Z21+U29+Z34)/6</f>
        <v>309.83333333333331</v>
      </c>
      <c r="AE25">
        <f>(V6+Y16+Y21+V29+Y34+Y11)/6</f>
        <v>317.66666666666669</v>
      </c>
      <c r="AF25">
        <f>(W6+X11+X16+X21+W29+X34)/6</f>
        <v>315.33333333333331</v>
      </c>
    </row>
    <row r="26" spans="1:32" ht="15.75" thickBot="1" x14ac:dyDescent="0.3">
      <c r="A26" t="s">
        <v>12</v>
      </c>
      <c r="B26" s="3">
        <v>4.8611111111111112E-3</v>
      </c>
      <c r="C26">
        <v>1250</v>
      </c>
      <c r="D26">
        <v>316</v>
      </c>
      <c r="E26">
        <v>163</v>
      </c>
      <c r="F26">
        <v>153</v>
      </c>
      <c r="G26">
        <v>153</v>
      </c>
      <c r="L26" s="4">
        <f>L25/L24 -1</f>
        <v>0.15691632928475041</v>
      </c>
      <c r="M26" t="s">
        <v>13</v>
      </c>
      <c r="O26" s="6"/>
      <c r="Q26" s="1" t="s">
        <v>1</v>
      </c>
      <c r="X26" s="8">
        <f>(1+V27)*X30</f>
        <v>158.25316455696202</v>
      </c>
      <c r="Y26" s="8">
        <f>(1+U27)*Y30</f>
        <v>160</v>
      </c>
      <c r="Z26" s="8">
        <f>(1+T27)*Z30</f>
        <v>168.42105263157893</v>
      </c>
    </row>
    <row r="27" spans="1:32" x14ac:dyDescent="0.25">
      <c r="B27" s="3">
        <v>7.9166666666666663E-2</v>
      </c>
      <c r="C27">
        <v>1294</v>
      </c>
      <c r="D27">
        <v>318</v>
      </c>
      <c r="E27">
        <v>163</v>
      </c>
      <c r="F27">
        <v>155</v>
      </c>
      <c r="G27">
        <v>154</v>
      </c>
      <c r="H27">
        <v>275</v>
      </c>
      <c r="K27">
        <f>(7250/10050)*(K25-1)+1</f>
        <v>1.0332220476564546</v>
      </c>
      <c r="L27">
        <f>K27*C27</f>
        <v>1336.9893296674522</v>
      </c>
      <c r="O27" s="6"/>
      <c r="P27" s="9" t="s">
        <v>44</v>
      </c>
      <c r="Q27" s="10"/>
      <c r="R27" s="10"/>
      <c r="S27" s="10"/>
      <c r="T27" s="11">
        <f>(T29/AA29)-1</f>
        <v>5.2631578947368363E-2</v>
      </c>
      <c r="U27" s="11">
        <f>(U29/Z29)-1</f>
        <v>3.2258064516129004E-2</v>
      </c>
      <c r="V27" s="11">
        <f>(V29/Y29)-1</f>
        <v>4.1139240506329111E-2</v>
      </c>
      <c r="W27" s="12">
        <f>AVERAGE(T27:V27)</f>
        <v>4.2009627989942157E-2</v>
      </c>
      <c r="X27" s="11"/>
      <c r="Y27" s="11"/>
      <c r="Z27" s="11"/>
      <c r="AA27" s="29"/>
      <c r="AC27" s="4">
        <f>1-(AC17/AC25)</f>
        <v>1.223990208078285E-3</v>
      </c>
      <c r="AD27" s="4">
        <f>1-(AD17/AD25)</f>
        <v>1.2372243141473893E-2</v>
      </c>
      <c r="AE27" s="4">
        <f>1-(AE17/AE25)</f>
        <v>6.8205666316895064E-3</v>
      </c>
      <c r="AF27" s="4">
        <f>1-(AF17/AF25)</f>
        <v>-6.871035940803516E-3</v>
      </c>
    </row>
    <row r="28" spans="1:32" x14ac:dyDescent="0.25">
      <c r="B28" s="3">
        <v>0.12222222222222223</v>
      </c>
      <c r="C28">
        <v>1227</v>
      </c>
      <c r="D28">
        <v>307</v>
      </c>
      <c r="E28">
        <v>159</v>
      </c>
      <c r="F28">
        <v>152</v>
      </c>
      <c r="G28">
        <v>152</v>
      </c>
      <c r="L28" s="4">
        <f>L27/L24-1</f>
        <v>0.14272592279269425</v>
      </c>
      <c r="O28" s="6"/>
      <c r="P28" s="14"/>
      <c r="Q28" s="15" t="s">
        <v>25</v>
      </c>
      <c r="R28" s="15" t="s">
        <v>27</v>
      </c>
      <c r="S28" s="15" t="s">
        <v>28</v>
      </c>
      <c r="T28" s="15" t="s">
        <v>31</v>
      </c>
      <c r="U28" s="15" t="s">
        <v>32</v>
      </c>
      <c r="V28" s="15" t="s">
        <v>33</v>
      </c>
      <c r="W28" s="16" t="s">
        <v>34</v>
      </c>
      <c r="X28" s="16" t="s">
        <v>35</v>
      </c>
      <c r="Y28" s="15" t="s">
        <v>36</v>
      </c>
      <c r="Z28" s="15" t="s">
        <v>37</v>
      </c>
      <c r="AA28" s="17" t="s">
        <v>39</v>
      </c>
    </row>
    <row r="29" spans="1:32" x14ac:dyDescent="0.25">
      <c r="O29" s="6"/>
      <c r="P29" s="14"/>
      <c r="Q29" s="18" t="s">
        <v>29</v>
      </c>
      <c r="R29" s="19">
        <v>604</v>
      </c>
      <c r="S29" s="19">
        <v>627</v>
      </c>
      <c r="T29" s="19">
        <v>280</v>
      </c>
      <c r="U29" s="31">
        <v>320</v>
      </c>
      <c r="V29" s="31">
        <v>329</v>
      </c>
      <c r="W29" s="18">
        <v>321</v>
      </c>
      <c r="X29" s="18">
        <v>314</v>
      </c>
      <c r="Y29" s="31">
        <v>316</v>
      </c>
      <c r="Z29" s="31">
        <v>310</v>
      </c>
      <c r="AA29" s="20">
        <v>266</v>
      </c>
      <c r="AD29" s="42">
        <f>AVERAGE(AC27:AF27)</f>
        <v>3.3864410101095421E-3</v>
      </c>
    </row>
    <row r="30" spans="1:32" x14ac:dyDescent="0.25">
      <c r="O30" s="6"/>
      <c r="P30" s="14"/>
      <c r="Q30" s="18" t="s">
        <v>30</v>
      </c>
      <c r="R30" s="18">
        <f>R29*(1-W27)</f>
        <v>578.62618469407494</v>
      </c>
      <c r="S30" s="18">
        <f>S29</f>
        <v>627</v>
      </c>
      <c r="T30" s="19">
        <v>164</v>
      </c>
      <c r="U30" s="19">
        <v>153</v>
      </c>
      <c r="V30" s="19">
        <v>150</v>
      </c>
      <c r="W30" s="18">
        <v>156</v>
      </c>
      <c r="X30" s="32">
        <v>152</v>
      </c>
      <c r="Y30" s="32">
        <v>155</v>
      </c>
      <c r="Z30" s="32">
        <v>160</v>
      </c>
      <c r="AA30" s="20"/>
    </row>
    <row r="31" spans="1:32" ht="15.75" thickBot="1" x14ac:dyDescent="0.3">
      <c r="J31">
        <v>1294</v>
      </c>
      <c r="K31">
        <f>K25*C22</f>
        <v>1223.8815789473683</v>
      </c>
      <c r="L31">
        <f>J31/K31</f>
        <v>1.0572918346503253</v>
      </c>
      <c r="O31" s="6"/>
      <c r="P31" s="22"/>
      <c r="Q31" s="30"/>
      <c r="R31" s="24">
        <f>-((S30/R30)-1)</f>
        <v>-8.3601151461026202E-2</v>
      </c>
      <c r="S31" s="25"/>
      <c r="T31" s="26">
        <f>(1-T27)*T30</f>
        <v>155.36842105263159</v>
      </c>
      <c r="U31" s="26">
        <f>(1-U27)*U30</f>
        <v>148.06451612903226</v>
      </c>
      <c r="V31" s="26">
        <f>(1-V27)*V30</f>
        <v>143.82911392405063</v>
      </c>
      <c r="W31" s="27"/>
      <c r="X31" s="24">
        <f>(X30/V31)-1</f>
        <v>5.6809680968096909E-2</v>
      </c>
      <c r="Y31" s="24">
        <f>(Y30/U31)-1</f>
        <v>4.6840958605664396E-2</v>
      </c>
      <c r="Z31" s="24">
        <f>(Z30/T31)-1</f>
        <v>2.9810298102980859E-2</v>
      </c>
      <c r="AA31" s="28"/>
    </row>
    <row r="32" spans="1:32" x14ac:dyDescent="0.25">
      <c r="O32" s="6"/>
      <c r="P32" s="9"/>
      <c r="Q32" s="10"/>
      <c r="R32" s="10"/>
      <c r="S32" s="10"/>
      <c r="T32" s="11">
        <f>(T34/AA34)-1</f>
        <v>-3.2967032967032961E-2</v>
      </c>
      <c r="U32" s="11">
        <f>(U34/Z34)-1</f>
        <v>-3.1847133757961776E-3</v>
      </c>
      <c r="V32" s="11">
        <f>(V34/Y34)-1</f>
        <v>-3.1250000000000444E-3</v>
      </c>
      <c r="W32" s="12">
        <f>AVERAGE(T32:V32)</f>
        <v>-1.3092248780943061E-2</v>
      </c>
      <c r="X32" s="10"/>
      <c r="Y32" s="10"/>
      <c r="Z32" s="10"/>
      <c r="AA32" s="13"/>
    </row>
    <row r="33" spans="2:37" x14ac:dyDescent="0.25">
      <c r="O33" s="6"/>
      <c r="P33" s="14" t="s">
        <v>43</v>
      </c>
      <c r="Q33" s="15" t="s">
        <v>26</v>
      </c>
      <c r="R33" s="15" t="s">
        <v>27</v>
      </c>
      <c r="S33" s="15" t="s">
        <v>28</v>
      </c>
      <c r="T33" s="15" t="s">
        <v>31</v>
      </c>
      <c r="U33" s="15" t="s">
        <v>32</v>
      </c>
      <c r="V33" s="15" t="s">
        <v>33</v>
      </c>
      <c r="W33" s="16" t="s">
        <v>34</v>
      </c>
      <c r="X33" s="16" t="s">
        <v>35</v>
      </c>
      <c r="Y33" s="15" t="s">
        <v>36</v>
      </c>
      <c r="Z33" s="15" t="s">
        <v>37</v>
      </c>
      <c r="AA33" s="17" t="s">
        <v>39</v>
      </c>
    </row>
    <row r="34" spans="2:37" x14ac:dyDescent="0.25">
      <c r="B34" s="1" t="s">
        <v>15</v>
      </c>
      <c r="C34" s="1"/>
      <c r="D34" s="1" t="s">
        <v>4</v>
      </c>
      <c r="E34" s="1" t="s">
        <v>5</v>
      </c>
      <c r="F34" s="1" t="s">
        <v>7</v>
      </c>
      <c r="G34" s="1" t="s">
        <v>8</v>
      </c>
      <c r="H34" s="1" t="s">
        <v>20</v>
      </c>
      <c r="I34" s="1" t="s">
        <v>16</v>
      </c>
      <c r="J34" s="1" t="s">
        <v>17</v>
      </c>
      <c r="K34" s="1" t="s">
        <v>18</v>
      </c>
      <c r="L34" s="1" t="s">
        <v>19</v>
      </c>
      <c r="O34" s="6"/>
      <c r="P34" s="14"/>
      <c r="Q34" s="18" t="s">
        <v>29</v>
      </c>
      <c r="R34" s="19">
        <v>604</v>
      </c>
      <c r="S34" s="19">
        <v>602</v>
      </c>
      <c r="T34" s="19">
        <v>264</v>
      </c>
      <c r="U34" s="19">
        <v>313</v>
      </c>
      <c r="V34" s="19">
        <v>319</v>
      </c>
      <c r="W34" s="18">
        <v>312</v>
      </c>
      <c r="X34" s="18">
        <v>322</v>
      </c>
      <c r="Y34" s="19">
        <v>320</v>
      </c>
      <c r="Z34" s="19">
        <v>314</v>
      </c>
      <c r="AA34" s="20">
        <v>273</v>
      </c>
    </row>
    <row r="35" spans="2:37" x14ac:dyDescent="0.25">
      <c r="B35" t="s">
        <v>1</v>
      </c>
      <c r="O35" s="6"/>
      <c r="P35" s="14"/>
      <c r="Q35" s="18" t="s">
        <v>30</v>
      </c>
      <c r="R35" s="18">
        <f>R34*(1-W32)</f>
        <v>611.90771826368962</v>
      </c>
      <c r="S35" s="18">
        <f>S34</f>
        <v>602</v>
      </c>
      <c r="T35" s="19">
        <v>163</v>
      </c>
      <c r="U35" s="19">
        <v>158</v>
      </c>
      <c r="V35" s="19">
        <v>148</v>
      </c>
      <c r="W35" s="18">
        <v>155</v>
      </c>
      <c r="X35" s="21">
        <v>148</v>
      </c>
      <c r="Y35" s="21">
        <v>148</v>
      </c>
      <c r="Z35" s="21">
        <v>155</v>
      </c>
      <c r="AA35" s="20"/>
    </row>
    <row r="36" spans="2:37" ht="15.75" thickBot="1" x14ac:dyDescent="0.3">
      <c r="C36" s="3">
        <v>3.472222222222222E-3</v>
      </c>
      <c r="D36">
        <v>1186</v>
      </c>
      <c r="E36">
        <v>159</v>
      </c>
      <c r="F36">
        <v>154</v>
      </c>
      <c r="G36">
        <v>152</v>
      </c>
      <c r="H36">
        <f>(144+138)/2</f>
        <v>141</v>
      </c>
      <c r="I36">
        <v>273</v>
      </c>
      <c r="J36">
        <v>307</v>
      </c>
      <c r="K36">
        <v>307</v>
      </c>
      <c r="L36">
        <v>300</v>
      </c>
      <c r="O36" s="6"/>
      <c r="P36" s="22"/>
      <c r="Q36" s="23"/>
      <c r="R36" s="24">
        <f>(S35/R35)-1</f>
        <v>-1.619152360392373E-2</v>
      </c>
      <c r="S36" s="25"/>
      <c r="T36" s="26">
        <f>(1-T32)*T35</f>
        <v>168.37362637362637</v>
      </c>
      <c r="U36" s="26">
        <f>(1-U32)*U35</f>
        <v>158.50318471337582</v>
      </c>
      <c r="V36" s="26">
        <f>(1-V32)*V35</f>
        <v>148.46250000000001</v>
      </c>
      <c r="W36" s="27"/>
      <c r="X36" s="24">
        <f>(X35/V36)-1</f>
        <v>-3.1152647975077885E-3</v>
      </c>
      <c r="Y36" s="24">
        <f>(Y35/U36)-1</f>
        <v>-6.6264818163552452E-2</v>
      </c>
      <c r="Z36" s="24">
        <f>(Z35/T36)-1</f>
        <v>-7.9428273071400546E-2</v>
      </c>
      <c r="AA36" s="28"/>
    </row>
    <row r="37" spans="2:37" x14ac:dyDescent="0.25">
      <c r="C37" s="3">
        <v>0.14305555555555557</v>
      </c>
      <c r="D37">
        <v>1280</v>
      </c>
      <c r="E37">
        <v>163</v>
      </c>
      <c r="F37">
        <v>154</v>
      </c>
      <c r="G37">
        <v>155</v>
      </c>
      <c r="H37">
        <v>164</v>
      </c>
      <c r="I37">
        <f>(285+253)/2</f>
        <v>269</v>
      </c>
      <c r="J37">
        <v>309</v>
      </c>
      <c r="K37">
        <v>315</v>
      </c>
      <c r="L37">
        <v>317</v>
      </c>
      <c r="O37" s="6"/>
      <c r="Q37" s="36"/>
      <c r="R37" s="36"/>
      <c r="S37" s="36"/>
      <c r="T37" s="37"/>
      <c r="U37" s="37"/>
      <c r="V37" s="37"/>
      <c r="W37" s="37"/>
      <c r="X37" s="36"/>
      <c r="Y37" s="36"/>
      <c r="Z37" s="36"/>
      <c r="AA37" s="36"/>
    </row>
    <row r="38" spans="2:37" x14ac:dyDescent="0.25">
      <c r="B38" t="s">
        <v>0</v>
      </c>
      <c r="O38" s="6"/>
      <c r="Q38" s="34"/>
      <c r="R38" s="38">
        <f>AVERAGE(R8,R13,R18,R23,R31,R36)</f>
        <v>-4.8502706891131175E-2</v>
      </c>
      <c r="S38" s="34"/>
      <c r="T38" s="36">
        <f>AVERAGE(T7,T12,T17,T22,T30,T35,Z7,Z30)*0.98</f>
        <v>159.25</v>
      </c>
      <c r="U38" s="36">
        <f>AVERAGE(U7,U12,U17,U22,U30,U35,Y7,Y30)*0.98</f>
        <v>152.75749999999999</v>
      </c>
      <c r="V38" s="36">
        <f>AVERAGE(V7,V12,V17,V22,V30,V35,X7,X30)*0.98</f>
        <v>148.83750000000001</v>
      </c>
      <c r="W38" s="34"/>
      <c r="X38" s="33">
        <f>(-X8+X13+X18+X23-X31+X36)/6</f>
        <v>-4.6708772110079698E-2</v>
      </c>
      <c r="Y38" s="33">
        <f>(-Y8+Y13+Y18+Y23-Y31+Y36)/6</f>
        <v>-5.2334579453492791E-2</v>
      </c>
      <c r="Z38" s="33">
        <f>(-Z8+Z13+Z18+Z23-Z31+Z36)/6</f>
        <v>-4.4767862265167414E-2</v>
      </c>
      <c r="AA38" s="34"/>
    </row>
    <row r="39" spans="2:37" x14ac:dyDescent="0.25">
      <c r="C39" s="3">
        <v>3.125E-2</v>
      </c>
      <c r="D39">
        <v>1170</v>
      </c>
      <c r="E39">
        <v>158</v>
      </c>
      <c r="F39">
        <v>154</v>
      </c>
      <c r="G39">
        <v>153</v>
      </c>
      <c r="H39">
        <v>135</v>
      </c>
      <c r="I39">
        <v>265</v>
      </c>
      <c r="J39">
        <v>310</v>
      </c>
      <c r="K39">
        <v>312</v>
      </c>
      <c r="L39">
        <v>304</v>
      </c>
      <c r="O39" s="6"/>
      <c r="Q39" s="36"/>
      <c r="R39" s="36"/>
      <c r="S39" s="36"/>
      <c r="T39" s="36">
        <f>AVERAGE(T8,T13,T18,T23,T31,T36,Z3,Z26)</f>
        <v>164.0912951284223</v>
      </c>
      <c r="U39" s="36">
        <f>AVERAGE(U8,U13,U18,U23,U31,U36,Y3,Y26)</f>
        <v>156.86800468206965</v>
      </c>
      <c r="V39" s="36">
        <f>AVERAGE(V8,V13,V18,V23,V31,V36,X3,X26)</f>
        <v>152.08965146299417</v>
      </c>
      <c r="W39" s="36"/>
      <c r="Y39" s="36"/>
      <c r="Z39" s="36"/>
      <c r="AA39" s="36"/>
      <c r="AC39" t="s">
        <v>57</v>
      </c>
      <c r="AK39" s="1"/>
    </row>
    <row r="40" spans="2:37" x14ac:dyDescent="0.25">
      <c r="C40" s="3">
        <v>7.9166666666666663E-2</v>
      </c>
      <c r="D40">
        <v>1294</v>
      </c>
      <c r="E40">
        <v>163</v>
      </c>
      <c r="F40">
        <v>155</v>
      </c>
      <c r="G40">
        <v>154</v>
      </c>
      <c r="H40">
        <f>(173+164)/2</f>
        <v>168.5</v>
      </c>
      <c r="I40">
        <v>275</v>
      </c>
      <c r="J40">
        <v>303</v>
      </c>
      <c r="K40">
        <v>316</v>
      </c>
      <c r="L40">
        <v>318</v>
      </c>
      <c r="O40" s="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2:37" x14ac:dyDescent="0.25">
      <c r="O41" s="6"/>
      <c r="Q41" s="36"/>
      <c r="R41" s="37"/>
      <c r="S41" s="36"/>
      <c r="T41" s="36"/>
      <c r="U41" s="36"/>
      <c r="V41" s="36"/>
      <c r="W41" s="36"/>
      <c r="X41" s="37"/>
      <c r="Y41" s="37"/>
      <c r="Z41" s="37"/>
      <c r="AA41" s="36"/>
    </row>
    <row r="42" spans="2:37" x14ac:dyDescent="0.25">
      <c r="O42" s="6"/>
      <c r="Q42" s="36"/>
      <c r="R42" s="36"/>
      <c r="S42" s="36"/>
      <c r="T42" s="37" t="s">
        <v>50</v>
      </c>
      <c r="U42" s="37"/>
      <c r="V42" s="37"/>
      <c r="W42" s="37" t="s">
        <v>51</v>
      </c>
      <c r="X42" s="36"/>
      <c r="Y42" s="36"/>
      <c r="Z42" s="36"/>
      <c r="AA42" s="36"/>
    </row>
    <row r="43" spans="2:37" x14ac:dyDescent="0.25">
      <c r="I43">
        <f>I37/I36</f>
        <v>0.9853479853479854</v>
      </c>
      <c r="J43">
        <f>J37/J36</f>
        <v>1.006514657980456</v>
      </c>
      <c r="K43">
        <f>K37/K36</f>
        <v>1.0260586319218241</v>
      </c>
      <c r="L43">
        <f>L37/L36</f>
        <v>1.0566666666666666</v>
      </c>
      <c r="O43" s="6"/>
      <c r="Q43" s="34"/>
      <c r="R43" s="34"/>
      <c r="S43" s="34"/>
      <c r="T43" s="34" t="s">
        <v>49</v>
      </c>
      <c r="U43" s="34">
        <v>1</v>
      </c>
      <c r="V43" s="34">
        <v>2</v>
      </c>
      <c r="W43" s="34">
        <v>3</v>
      </c>
      <c r="X43" s="34"/>
      <c r="Y43" s="34"/>
      <c r="Z43" s="34"/>
      <c r="AA43" s="34"/>
    </row>
    <row r="44" spans="2:37" x14ac:dyDescent="0.25">
      <c r="I44">
        <f>I40/I39</f>
        <v>1.0377358490566038</v>
      </c>
      <c r="J44">
        <f>J40/J39</f>
        <v>0.97741935483870968</v>
      </c>
      <c r="K44">
        <f>K40/K39</f>
        <v>1.0128205128205128</v>
      </c>
      <c r="L44">
        <f>L40/L39</f>
        <v>1.0460526315789473</v>
      </c>
      <c r="O44" s="6"/>
      <c r="Q44" s="36"/>
      <c r="R44" s="36"/>
      <c r="S44" s="36"/>
      <c r="T44">
        <v>163</v>
      </c>
      <c r="U44">
        <v>154.5</v>
      </c>
      <c r="V44">
        <v>154.5</v>
      </c>
      <c r="W44">
        <v>166.25</v>
      </c>
      <c r="X44" s="36"/>
      <c r="Y44" s="36"/>
      <c r="Z44" s="36"/>
      <c r="AA44" s="36"/>
    </row>
    <row r="45" spans="2:37" x14ac:dyDescent="0.25">
      <c r="I45" s="1">
        <f>(I44+I43)/2</f>
        <v>1.0115419172022946</v>
      </c>
      <c r="J45" s="1">
        <f>(J44+J43)/2</f>
        <v>0.99196700640958291</v>
      </c>
      <c r="K45" s="1">
        <f>(K44+K43)/2</f>
        <v>1.0194395723711684</v>
      </c>
      <c r="L45" s="1">
        <f>(L44+L43)/2</f>
        <v>1.051359649122807</v>
      </c>
      <c r="O45" s="6"/>
      <c r="Q45" s="36"/>
      <c r="R45" s="36"/>
      <c r="S45" s="36"/>
      <c r="T45" s="36"/>
      <c r="U45" s="35">
        <f>U44/V38</f>
        <v>1.038044847568657</v>
      </c>
      <c r="V45" s="35">
        <f>V44/U38</f>
        <v>1.0114069685612819</v>
      </c>
      <c r="W45" s="35">
        <f>W44/T38</f>
        <v>1.043956043956044</v>
      </c>
      <c r="X45" t="s">
        <v>54</v>
      </c>
      <c r="AF45" s="1"/>
    </row>
    <row r="46" spans="2:37" x14ac:dyDescent="0.25">
      <c r="D46">
        <f>(D36+D39)/2</f>
        <v>1178</v>
      </c>
      <c r="E46">
        <f t="shared" ref="E46:H47" si="0">(E36+E39)/2</f>
        <v>158.5</v>
      </c>
      <c r="F46">
        <f t="shared" si="0"/>
        <v>154</v>
      </c>
      <c r="G46">
        <f t="shared" si="0"/>
        <v>152.5</v>
      </c>
      <c r="H46">
        <f t="shared" si="0"/>
        <v>138</v>
      </c>
      <c r="O46" s="6"/>
      <c r="Q46" s="36"/>
      <c r="R46" s="37"/>
      <c r="S46" s="36"/>
      <c r="T46" s="36"/>
      <c r="U46" s="36">
        <f>U44/V39</f>
        <v>1.0158482086967784</v>
      </c>
      <c r="V46" s="36">
        <f>V44/U39</f>
        <v>0.98490447630242395</v>
      </c>
      <c r="W46" s="36">
        <f>W44/T39</f>
        <v>1.0131555112042248</v>
      </c>
      <c r="X46" s="37"/>
      <c r="Y46" s="37"/>
      <c r="Z46" s="37"/>
      <c r="AA46" s="36"/>
    </row>
    <row r="47" spans="2:37" x14ac:dyDescent="0.25">
      <c r="D47">
        <f>(D37+D40)/2</f>
        <v>1287</v>
      </c>
      <c r="E47">
        <f t="shared" si="0"/>
        <v>163</v>
      </c>
      <c r="F47">
        <f t="shared" si="0"/>
        <v>154.5</v>
      </c>
      <c r="G47">
        <f>(G37+G40)/2</f>
        <v>154.5</v>
      </c>
      <c r="H47">
        <f>(H37+H40)/2</f>
        <v>166.25</v>
      </c>
      <c r="O47" s="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2:37" x14ac:dyDescent="0.25">
      <c r="O48" s="6"/>
      <c r="U48">
        <f>U45+V45+W45</f>
        <v>3.0934078600859829</v>
      </c>
      <c r="V48" s="1">
        <f>U48/3</f>
        <v>1.0311359533619944</v>
      </c>
      <c r="X48" t="s">
        <v>55</v>
      </c>
      <c r="AF48" s="1" t="s">
        <v>52</v>
      </c>
    </row>
    <row r="49" spans="2:27" x14ac:dyDescent="0.25">
      <c r="I49" s="1" t="s">
        <v>5</v>
      </c>
      <c r="J49" s="1" t="s">
        <v>7</v>
      </c>
      <c r="K49" s="1" t="s">
        <v>8</v>
      </c>
      <c r="L49" s="1" t="s">
        <v>20</v>
      </c>
      <c r="O49" s="6"/>
    </row>
    <row r="50" spans="2:27" x14ac:dyDescent="0.25">
      <c r="I50" s="1">
        <f>L45</f>
        <v>1.051359649122807</v>
      </c>
      <c r="J50" s="1">
        <f>(L45+K45)/2</f>
        <v>1.0353996107469876</v>
      </c>
      <c r="K50" s="1">
        <f>(K45+J45)/2</f>
        <v>1.0057032893903757</v>
      </c>
      <c r="L50" s="1">
        <f>(J45+I45)/2</f>
        <v>1.0017544618059389</v>
      </c>
      <c r="O50" s="6"/>
    </row>
    <row r="51" spans="2:27" x14ac:dyDescent="0.25">
      <c r="O51" s="6"/>
    </row>
    <row r="52" spans="2:27" x14ac:dyDescent="0.25">
      <c r="O52" s="6"/>
      <c r="X52" t="s">
        <v>53</v>
      </c>
    </row>
    <row r="53" spans="2:27" x14ac:dyDescent="0.25">
      <c r="B53" s="1" t="s">
        <v>21</v>
      </c>
      <c r="D53" s="1" t="s">
        <v>4</v>
      </c>
      <c r="E53" s="1" t="s">
        <v>5</v>
      </c>
      <c r="F53" s="1" t="s">
        <v>7</v>
      </c>
      <c r="G53" s="1" t="s">
        <v>8</v>
      </c>
      <c r="H53" s="1" t="s">
        <v>20</v>
      </c>
      <c r="I53" s="1"/>
      <c r="J53" s="1" t="s">
        <v>17</v>
      </c>
      <c r="K53" s="1" t="s">
        <v>18</v>
      </c>
      <c r="L53" s="1" t="s">
        <v>19</v>
      </c>
      <c r="O53" s="6"/>
    </row>
    <row r="54" spans="2:27" x14ac:dyDescent="0.25">
      <c r="O54" s="6"/>
      <c r="T54">
        <f>AVERAGE(X35,V30,X22,X17,X12,V7)</f>
        <v>148.16666666666666</v>
      </c>
      <c r="U54">
        <f>AVERAGE(Y35,U30,Y22,Y17,Y12,U7)</f>
        <v>152</v>
      </c>
      <c r="V54">
        <f>AVERAGE(Z35,T30,Z22,Z17,Z12,T7)</f>
        <v>161.16666666666666</v>
      </c>
    </row>
    <row r="55" spans="2:27" x14ac:dyDescent="0.25">
      <c r="B55" t="s">
        <v>22</v>
      </c>
      <c r="D55">
        <f>(D36+D39)/2 *J50</f>
        <v>1219.7007414599514</v>
      </c>
      <c r="E55">
        <f>I50*(E36+E39)/2</f>
        <v>166.6405043859649</v>
      </c>
      <c r="F55">
        <f>J50*(F36+F39)/2</f>
        <v>159.45154005503611</v>
      </c>
      <c r="G55">
        <f>K50*(G36+G39)/2</f>
        <v>153.36975163203229</v>
      </c>
      <c r="H55">
        <f>L50*(H36+H39)/2</f>
        <v>138.24211572921956</v>
      </c>
      <c r="O55" s="6"/>
    </row>
    <row r="56" spans="2:27" x14ac:dyDescent="0.25">
      <c r="B56" t="s">
        <v>23</v>
      </c>
      <c r="D56">
        <f>(D37+D40)/2</f>
        <v>1287</v>
      </c>
      <c r="E56">
        <f>(E37+E40)/2</f>
        <v>163</v>
      </c>
      <c r="F56">
        <f>(F37+F40)/2</f>
        <v>154.5</v>
      </c>
      <c r="G56">
        <f>(G37+G40)/2</f>
        <v>154.5</v>
      </c>
      <c r="H56">
        <f>(H37+H40)/2</f>
        <v>166.25</v>
      </c>
      <c r="O56" s="6"/>
    </row>
    <row r="57" spans="2:27" x14ac:dyDescent="0.25">
      <c r="O57" s="6"/>
      <c r="U57">
        <f>U44/V54</f>
        <v>0.9586349534643227</v>
      </c>
      <c r="V57">
        <f>V44/U54</f>
        <v>1.0164473684210527</v>
      </c>
      <c r="W57">
        <f>W44/T54</f>
        <v>1.1220472440944882</v>
      </c>
    </row>
    <row r="58" spans="2:27" x14ac:dyDescent="0.25">
      <c r="G58" s="2" t="s">
        <v>24</v>
      </c>
      <c r="O58" s="6"/>
      <c r="U58">
        <f>U57+V57+W57</f>
        <v>3.0971295659798637</v>
      </c>
    </row>
    <row r="59" spans="2:27" x14ac:dyDescent="0.25">
      <c r="O59" s="6"/>
    </row>
    <row r="60" spans="2:27" x14ac:dyDescent="0.25">
      <c r="O60" s="6"/>
    </row>
    <row r="61" spans="2:27" x14ac:dyDescent="0.25">
      <c r="D61">
        <f>D56/D55</f>
        <v>1.0551768612188372</v>
      </c>
      <c r="E61">
        <f>E56/E55</f>
        <v>0.97815354436558266</v>
      </c>
      <c r="F61">
        <f>F56/F55</f>
        <v>0.96894642689981525</v>
      </c>
      <c r="G61">
        <f>G56/G55</f>
        <v>1.0073694346893083</v>
      </c>
      <c r="H61">
        <f>H56/H55</f>
        <v>1.2026002287583664</v>
      </c>
      <c r="O61" s="6"/>
    </row>
    <row r="62" spans="2:27" x14ac:dyDescent="0.25">
      <c r="D62">
        <f>1-D61</f>
        <v>-5.5176861218837248E-2</v>
      </c>
      <c r="E62">
        <f>1-E61</f>
        <v>2.1846455634417339E-2</v>
      </c>
      <c r="F62">
        <f>1-F61</f>
        <v>3.105357310018475E-2</v>
      </c>
      <c r="G62">
        <f>1-G61</f>
        <v>-7.3694346893082852E-3</v>
      </c>
      <c r="H62">
        <f>1-H61</f>
        <v>-0.20260022875836636</v>
      </c>
      <c r="O62" s="6"/>
    </row>
    <row r="63" spans="2:27" ht="15.75" thickBot="1" x14ac:dyDescent="0.3">
      <c r="O63" s="6"/>
      <c r="Q63" s="1" t="s">
        <v>0</v>
      </c>
      <c r="X63" s="8">
        <f>(1.02)*X67</f>
        <v>155.04</v>
      </c>
      <c r="Y63" s="8">
        <f>(1.02)*Y67</f>
        <v>158.1</v>
      </c>
      <c r="Z63" s="8">
        <f>(1.02)*Z67</f>
        <v>167.28</v>
      </c>
    </row>
    <row r="64" spans="2:27" x14ac:dyDescent="0.25">
      <c r="O64" s="6"/>
      <c r="P64" s="9"/>
      <c r="Q64" s="10"/>
      <c r="R64" s="10"/>
      <c r="S64" s="10"/>
      <c r="T64" s="11">
        <f>(T66/AA66)-1</f>
        <v>7.6923076923076872E-2</v>
      </c>
      <c r="U64" s="11">
        <f>(U66/Z66)-1</f>
        <v>4.6822742474916357E-2</v>
      </c>
      <c r="V64" s="11">
        <f>(V66/Y66)-1</f>
        <v>4.2345276872964188E-2</v>
      </c>
      <c r="W64" s="12">
        <f>AVERAGE(T64:V64)</f>
        <v>5.5363698756985803E-2</v>
      </c>
      <c r="X64" s="11"/>
      <c r="Y64" s="11"/>
      <c r="Z64" s="11"/>
      <c r="AA64" s="29"/>
    </row>
    <row r="65" spans="16:27" x14ac:dyDescent="0.25">
      <c r="P65" s="14" t="s">
        <v>42</v>
      </c>
      <c r="Q65" s="15" t="s">
        <v>25</v>
      </c>
      <c r="R65" s="15" t="s">
        <v>27</v>
      </c>
      <c r="S65" s="15" t="s">
        <v>28</v>
      </c>
      <c r="T65" s="15" t="s">
        <v>31</v>
      </c>
      <c r="U65" s="15" t="s">
        <v>32</v>
      </c>
      <c r="V65" s="15" t="s">
        <v>33</v>
      </c>
      <c r="W65" s="16" t="s">
        <v>34</v>
      </c>
      <c r="X65" s="16" t="s">
        <v>35</v>
      </c>
      <c r="Y65" s="15" t="s">
        <v>36</v>
      </c>
      <c r="Z65" s="15" t="s">
        <v>37</v>
      </c>
      <c r="AA65" s="17" t="s">
        <v>39</v>
      </c>
    </row>
    <row r="66" spans="16:27" x14ac:dyDescent="0.25">
      <c r="P66" s="14"/>
      <c r="Q66" s="18" t="s">
        <v>29</v>
      </c>
      <c r="R66" s="19">
        <v>615</v>
      </c>
      <c r="S66" s="19">
        <v>636</v>
      </c>
      <c r="T66" s="19">
        <v>280</v>
      </c>
      <c r="U66" s="19">
        <v>313</v>
      </c>
      <c r="V66" s="19">
        <v>320</v>
      </c>
      <c r="W66" s="18">
        <v>311</v>
      </c>
      <c r="X66" s="18">
        <v>309</v>
      </c>
      <c r="Y66" s="19">
        <v>307</v>
      </c>
      <c r="Z66" s="19">
        <v>299</v>
      </c>
      <c r="AA66" s="20">
        <v>260</v>
      </c>
    </row>
    <row r="67" spans="16:27" x14ac:dyDescent="0.25">
      <c r="P67" s="14"/>
      <c r="Q67" s="18" t="s">
        <v>30</v>
      </c>
      <c r="R67" s="18">
        <f>R66*(1-W64)</f>
        <v>580.95132526445377</v>
      </c>
      <c r="S67" s="18">
        <f>S66</f>
        <v>636</v>
      </c>
      <c r="T67" s="19">
        <v>160</v>
      </c>
      <c r="U67" s="19">
        <v>153</v>
      </c>
      <c r="V67" s="19">
        <v>148</v>
      </c>
      <c r="W67" s="18">
        <v>157</v>
      </c>
      <c r="X67" s="21">
        <v>152</v>
      </c>
      <c r="Y67" s="21">
        <v>155</v>
      </c>
      <c r="Z67" s="21">
        <v>164</v>
      </c>
      <c r="AA67" s="20"/>
    </row>
    <row r="68" spans="16:27" ht="15.75" thickBot="1" x14ac:dyDescent="0.3">
      <c r="P68" s="22"/>
      <c r="Q68" s="30"/>
      <c r="R68" s="24">
        <f>-((S67/R67)-1)</f>
        <v>-9.4756087716105331E-2</v>
      </c>
      <c r="S68" s="25"/>
      <c r="T68" s="26"/>
      <c r="U68" s="26"/>
      <c r="V68" s="26"/>
      <c r="W68" s="27"/>
      <c r="X68" s="24">
        <f>(V67/X63)-1</f>
        <v>-4.5407636738906021E-2</v>
      </c>
      <c r="Y68" s="24">
        <f>(U67/Y63)-1</f>
        <v>-3.2258064516129004E-2</v>
      </c>
      <c r="Z68" s="24">
        <f>(T67/Z63)-1</f>
        <v>-4.3519846963175568E-2</v>
      </c>
      <c r="AA68" s="28"/>
    </row>
    <row r="69" spans="16:27" x14ac:dyDescent="0.25">
      <c r="P69" s="9"/>
      <c r="Q69" s="10"/>
      <c r="R69" s="10"/>
      <c r="S69" s="10"/>
      <c r="T69" s="11">
        <f>(T71/AA71)-1</f>
        <v>0</v>
      </c>
      <c r="U69" s="11">
        <f>(U71/Z71)-1</f>
        <v>3.2894736842106198E-3</v>
      </c>
      <c r="V69" s="11">
        <f>(V71/Y71)-1</f>
        <v>1.2738853503184711E-2</v>
      </c>
      <c r="W69" s="12">
        <f>AVERAGE(T69:V69)</f>
        <v>5.3427757291317768E-3</v>
      </c>
      <c r="X69" s="10"/>
      <c r="Y69" s="10"/>
      <c r="Z69" s="10"/>
      <c r="AA69" s="13"/>
    </row>
    <row r="70" spans="16:27" x14ac:dyDescent="0.25">
      <c r="P70" s="14" t="s">
        <v>38</v>
      </c>
      <c r="Q70" s="15" t="s">
        <v>26</v>
      </c>
      <c r="R70" s="15" t="s">
        <v>27</v>
      </c>
      <c r="S70" s="15" t="s">
        <v>28</v>
      </c>
      <c r="T70" s="15" t="s">
        <v>31</v>
      </c>
      <c r="U70" s="15" t="s">
        <v>32</v>
      </c>
      <c r="V70" s="15" t="s">
        <v>33</v>
      </c>
      <c r="W70" s="16" t="s">
        <v>34</v>
      </c>
      <c r="X70" s="16" t="s">
        <v>35</v>
      </c>
      <c r="Y70" s="15" t="s">
        <v>36</v>
      </c>
      <c r="Z70" s="15" t="s">
        <v>37</v>
      </c>
      <c r="AA70" s="17" t="s">
        <v>39</v>
      </c>
    </row>
    <row r="71" spans="16:27" x14ac:dyDescent="0.25">
      <c r="P71" s="14"/>
      <c r="Q71" s="18" t="s">
        <v>29</v>
      </c>
      <c r="R71" s="19">
        <v>638</v>
      </c>
      <c r="S71" s="19">
        <v>625</v>
      </c>
      <c r="T71" s="19">
        <v>265</v>
      </c>
      <c r="U71" s="19">
        <v>305</v>
      </c>
      <c r="V71" s="19">
        <v>318</v>
      </c>
      <c r="W71" s="18">
        <v>318</v>
      </c>
      <c r="X71" s="18">
        <v>318</v>
      </c>
      <c r="Y71" s="19">
        <v>314</v>
      </c>
      <c r="Z71" s="19">
        <v>304</v>
      </c>
      <c r="AA71" s="20">
        <v>265</v>
      </c>
    </row>
    <row r="72" spans="16:27" x14ac:dyDescent="0.25">
      <c r="P72" s="14"/>
      <c r="Q72" s="18" t="s">
        <v>30</v>
      </c>
      <c r="R72" s="18">
        <f>R71*(1-W69)</f>
        <v>634.59130908481393</v>
      </c>
      <c r="S72" s="18">
        <f>S71</f>
        <v>625</v>
      </c>
      <c r="T72" s="19">
        <v>165</v>
      </c>
      <c r="U72" s="19">
        <v>156</v>
      </c>
      <c r="V72" s="19">
        <v>155</v>
      </c>
      <c r="W72" s="18">
        <v>159</v>
      </c>
      <c r="X72" s="21">
        <v>147</v>
      </c>
      <c r="Y72" s="19">
        <v>152</v>
      </c>
      <c r="Z72" s="19">
        <v>165</v>
      </c>
      <c r="AA72" s="20"/>
    </row>
    <row r="73" spans="16:27" ht="15.75" thickBot="1" x14ac:dyDescent="0.3">
      <c r="P73" s="22"/>
      <c r="Q73" s="23"/>
      <c r="R73" s="24">
        <f>(S72/R72)-1</f>
        <v>-1.5114151340405502E-2</v>
      </c>
      <c r="S73" s="25"/>
      <c r="T73" s="26">
        <f>(1.02)*T72</f>
        <v>168.3</v>
      </c>
      <c r="U73" s="26">
        <f>(1.02)*U72</f>
        <v>159.12</v>
      </c>
      <c r="V73" s="26">
        <f>(1.02)*V72</f>
        <v>158.1</v>
      </c>
      <c r="W73" s="27"/>
      <c r="X73" s="24">
        <f>(X72/V73)-1</f>
        <v>-7.0208728652751407E-2</v>
      </c>
      <c r="Y73" s="24">
        <f>(Y72/U73)-1</f>
        <v>-4.4746103569633044E-2</v>
      </c>
      <c r="Z73" s="24">
        <f>(Z72/T73)-1</f>
        <v>-1.9607843137254943E-2</v>
      </c>
      <c r="AA73" s="28"/>
    </row>
    <row r="74" spans="16:27" x14ac:dyDescent="0.25">
      <c r="P74" s="9" t="s">
        <v>40</v>
      </c>
      <c r="Q74" s="10"/>
      <c r="R74" s="10"/>
      <c r="S74" s="10"/>
      <c r="T74" s="11">
        <f>(T76/AA76)-1</f>
        <v>-1.4981273408239737E-2</v>
      </c>
      <c r="U74" s="11">
        <f>(U76/Z76)-1</f>
        <v>-1.655629139072845E-2</v>
      </c>
      <c r="V74" s="11">
        <f>(V76/Y76)-1</f>
        <v>-6.4308681672026191E-3</v>
      </c>
      <c r="W74" s="12">
        <f>AVERAGE(T74:V74)</f>
        <v>-1.2656144322056936E-2</v>
      </c>
      <c r="X74" s="10"/>
      <c r="Y74" s="10"/>
      <c r="Z74" s="10"/>
      <c r="AA74" s="13"/>
    </row>
    <row r="75" spans="16:27" x14ac:dyDescent="0.25">
      <c r="P75" s="14"/>
      <c r="Q75" s="15" t="s">
        <v>26</v>
      </c>
      <c r="R75" s="15" t="s">
        <v>27</v>
      </c>
      <c r="S75" s="15" t="s">
        <v>28</v>
      </c>
      <c r="T75" s="15" t="s">
        <v>31</v>
      </c>
      <c r="U75" s="15" t="s">
        <v>32</v>
      </c>
      <c r="V75" s="15" t="s">
        <v>33</v>
      </c>
      <c r="W75" s="16" t="s">
        <v>34</v>
      </c>
      <c r="X75" s="16" t="s">
        <v>35</v>
      </c>
      <c r="Y75" s="15" t="s">
        <v>36</v>
      </c>
      <c r="Z75" s="15" t="s">
        <v>37</v>
      </c>
      <c r="AA75" s="17" t="s">
        <v>39</v>
      </c>
    </row>
    <row r="76" spans="16:27" x14ac:dyDescent="0.25">
      <c r="P76" s="14"/>
      <c r="Q76" s="18" t="s">
        <v>29</v>
      </c>
      <c r="R76" s="19">
        <v>635</v>
      </c>
      <c r="S76" s="19">
        <v>629</v>
      </c>
      <c r="T76" s="19">
        <v>263</v>
      </c>
      <c r="U76" s="19">
        <v>297</v>
      </c>
      <c r="V76" s="19">
        <v>309</v>
      </c>
      <c r="W76" s="18">
        <v>313</v>
      </c>
      <c r="X76" s="18">
        <v>311</v>
      </c>
      <c r="Y76" s="19">
        <v>311</v>
      </c>
      <c r="Z76" s="19">
        <v>302</v>
      </c>
      <c r="AA76" s="20">
        <v>267</v>
      </c>
    </row>
    <row r="77" spans="16:27" x14ac:dyDescent="0.25">
      <c r="P77" s="14"/>
      <c r="Q77" s="18" t="s">
        <v>30</v>
      </c>
      <c r="R77" s="18">
        <f>R76*(1-W74)</f>
        <v>643.03665164450615</v>
      </c>
      <c r="S77" s="18">
        <f>S76</f>
        <v>629</v>
      </c>
      <c r="T77" s="19">
        <v>161</v>
      </c>
      <c r="U77" s="19">
        <v>159</v>
      </c>
      <c r="V77" s="19">
        <v>156</v>
      </c>
      <c r="W77" s="18">
        <v>161</v>
      </c>
      <c r="X77" s="21">
        <v>149</v>
      </c>
      <c r="Y77" s="19">
        <v>154</v>
      </c>
      <c r="Z77" s="19">
        <v>165</v>
      </c>
      <c r="AA77" s="20"/>
    </row>
    <row r="78" spans="16:27" ht="15.75" thickBot="1" x14ac:dyDescent="0.3">
      <c r="P78" s="22"/>
      <c r="Q78" s="25"/>
      <c r="R78" s="24">
        <f>(S77/R77)-1</f>
        <v>-2.18286960915971E-2</v>
      </c>
      <c r="S78" s="25"/>
      <c r="T78" s="26">
        <f>(1.02)*T77</f>
        <v>164.22</v>
      </c>
      <c r="U78" s="26">
        <f>(1.02)*U77</f>
        <v>162.18</v>
      </c>
      <c r="V78" s="26">
        <f>(1.02)*V77</f>
        <v>159.12</v>
      </c>
      <c r="W78" s="27"/>
      <c r="X78" s="24">
        <f>(X77/V78)-1</f>
        <v>-6.3599798893916537E-2</v>
      </c>
      <c r="Y78" s="24">
        <f>(Y77/U78)-1</f>
        <v>-5.0437785176963956E-2</v>
      </c>
      <c r="Z78" s="24">
        <f>(Z77/T78)-1</f>
        <v>4.7497259773474632E-3</v>
      </c>
      <c r="AA78" s="28"/>
    </row>
    <row r="79" spans="16:27" x14ac:dyDescent="0.25">
      <c r="P79" s="9" t="s">
        <v>41</v>
      </c>
      <c r="Q79" s="10"/>
      <c r="R79" s="10"/>
      <c r="S79" s="10"/>
      <c r="T79" s="11">
        <f>(T81/AA81)-1</f>
        <v>-2.9739776951672847E-2</v>
      </c>
      <c r="U79" s="11">
        <f>(U81/Z81)-1</f>
        <v>-3.2679738562091498E-2</v>
      </c>
      <c r="V79" s="11">
        <f>(V81/Y81)-1</f>
        <v>-1.2820512820512775E-2</v>
      </c>
      <c r="W79" s="12">
        <f>AVERAGE(T79:V79)</f>
        <v>-2.5080009444759039E-2</v>
      </c>
      <c r="X79" s="10"/>
      <c r="Y79" s="10"/>
      <c r="Z79" s="10"/>
      <c r="AA79" s="13"/>
    </row>
    <row r="80" spans="16:27" x14ac:dyDescent="0.25">
      <c r="P80" s="14"/>
      <c r="Q80" s="15" t="s">
        <v>26</v>
      </c>
      <c r="R80" s="15" t="s">
        <v>27</v>
      </c>
      <c r="S80" s="15" t="s">
        <v>28</v>
      </c>
      <c r="T80" s="15" t="s">
        <v>31</v>
      </c>
      <c r="U80" s="15" t="s">
        <v>32</v>
      </c>
      <c r="V80" s="15" t="s">
        <v>33</v>
      </c>
      <c r="W80" s="16" t="s">
        <v>34</v>
      </c>
      <c r="X80" s="16" t="s">
        <v>35</v>
      </c>
      <c r="Y80" s="15" t="s">
        <v>36</v>
      </c>
      <c r="Z80" s="15" t="s">
        <v>37</v>
      </c>
      <c r="AA80" s="17" t="s">
        <v>39</v>
      </c>
    </row>
    <row r="81" spans="16:27" x14ac:dyDescent="0.25">
      <c r="P81" s="14"/>
      <c r="Q81" s="18" t="s">
        <v>29</v>
      </c>
      <c r="R81" s="19">
        <v>640</v>
      </c>
      <c r="S81" s="19">
        <v>617</v>
      </c>
      <c r="T81" s="19">
        <v>261</v>
      </c>
      <c r="U81" s="19">
        <v>296</v>
      </c>
      <c r="V81" s="19">
        <v>308</v>
      </c>
      <c r="W81" s="18">
        <v>308</v>
      </c>
      <c r="X81" s="18">
        <v>309</v>
      </c>
      <c r="Y81" s="19">
        <v>312</v>
      </c>
      <c r="Z81" s="19">
        <v>306</v>
      </c>
      <c r="AA81" s="20">
        <v>269</v>
      </c>
    </row>
    <row r="82" spans="16:27" x14ac:dyDescent="0.25">
      <c r="P82" s="14"/>
      <c r="Q82" s="18" t="s">
        <v>30</v>
      </c>
      <c r="R82" s="18">
        <f>R81*(1-W79)</f>
        <v>656.05120604464571</v>
      </c>
      <c r="S82" s="18">
        <f>S81</f>
        <v>617</v>
      </c>
      <c r="T82" s="19">
        <v>163</v>
      </c>
      <c r="U82" s="19">
        <v>158</v>
      </c>
      <c r="V82" s="19">
        <v>154</v>
      </c>
      <c r="W82" s="18">
        <v>158</v>
      </c>
      <c r="X82" s="21">
        <v>147</v>
      </c>
      <c r="Y82" s="21">
        <v>152</v>
      </c>
      <c r="Z82" s="21">
        <v>158</v>
      </c>
      <c r="AA82" s="20"/>
    </row>
    <row r="83" spans="16:27" ht="15.75" thickBot="1" x14ac:dyDescent="0.3">
      <c r="P83" s="22"/>
      <c r="Q83" s="25"/>
      <c r="R83" s="24">
        <f>(S82/R82)-1</f>
        <v>-5.9524631133729189E-2</v>
      </c>
      <c r="S83" s="25"/>
      <c r="T83" s="26">
        <f>(1.02)*T82</f>
        <v>166.26</v>
      </c>
      <c r="U83" s="26">
        <f>(1.02)*U82</f>
        <v>161.16</v>
      </c>
      <c r="V83" s="26">
        <f>(1.02)*V82</f>
        <v>157.08000000000001</v>
      </c>
      <c r="W83" s="27"/>
      <c r="X83" s="24">
        <f>(X82/V83)-1</f>
        <v>-6.4171122994652441E-2</v>
      </c>
      <c r="Y83" s="24">
        <f>(Y82/U83)-1</f>
        <v>-5.68379250434351E-2</v>
      </c>
      <c r="Z83" s="24">
        <f>(Z82/T83)-1</f>
        <v>-4.968122218212434E-2</v>
      </c>
      <c r="AA83" s="28"/>
    </row>
    <row r="86" spans="16:27" ht="15.75" thickBot="1" x14ac:dyDescent="0.3">
      <c r="Q86" s="1" t="s">
        <v>1</v>
      </c>
      <c r="X86" s="8">
        <f>(1.02)*X90</f>
        <v>155.04</v>
      </c>
      <c r="Y86" s="8">
        <f>(1.02)*Y90</f>
        <v>158.1</v>
      </c>
      <c r="Z86" s="8">
        <f>(1.02)*Z90</f>
        <v>163.19999999999999</v>
      </c>
    </row>
    <row r="87" spans="16:27" x14ac:dyDescent="0.25">
      <c r="P87" s="9" t="s">
        <v>44</v>
      </c>
      <c r="Q87" s="10"/>
      <c r="R87" s="10"/>
      <c r="S87" s="10"/>
      <c r="T87" s="11">
        <f>(T89/AA89)-1</f>
        <v>5.2631578947368363E-2</v>
      </c>
      <c r="U87" s="11">
        <f>(U89/Z89)-1</f>
        <v>3.2258064516129004E-2</v>
      </c>
      <c r="V87" s="11">
        <f>(V89/Y89)-1</f>
        <v>4.1139240506329111E-2</v>
      </c>
      <c r="W87" s="12">
        <f>AVERAGE(T87:V87)</f>
        <v>4.2009627989942157E-2</v>
      </c>
      <c r="X87" s="11"/>
      <c r="Y87" s="11"/>
      <c r="Z87" s="11"/>
      <c r="AA87" s="29"/>
    </row>
    <row r="88" spans="16:27" x14ac:dyDescent="0.25">
      <c r="P88" s="14"/>
      <c r="Q88" s="15" t="s">
        <v>25</v>
      </c>
      <c r="R88" s="15" t="s">
        <v>27</v>
      </c>
      <c r="S88" s="15" t="s">
        <v>28</v>
      </c>
      <c r="T88" s="15" t="s">
        <v>31</v>
      </c>
      <c r="U88" s="15" t="s">
        <v>32</v>
      </c>
      <c r="V88" s="15" t="s">
        <v>33</v>
      </c>
      <c r="W88" s="16" t="s">
        <v>34</v>
      </c>
      <c r="X88" s="16" t="s">
        <v>35</v>
      </c>
      <c r="Y88" s="15" t="s">
        <v>36</v>
      </c>
      <c r="Z88" s="15" t="s">
        <v>37</v>
      </c>
      <c r="AA88" s="17" t="s">
        <v>39</v>
      </c>
    </row>
    <row r="89" spans="16:27" x14ac:dyDescent="0.25">
      <c r="P89" s="14"/>
      <c r="Q89" s="18" t="s">
        <v>29</v>
      </c>
      <c r="R89" s="19">
        <v>604</v>
      </c>
      <c r="S89" s="19">
        <v>627</v>
      </c>
      <c r="T89" s="19">
        <v>280</v>
      </c>
      <c r="U89" s="31">
        <v>320</v>
      </c>
      <c r="V89" s="31">
        <v>329</v>
      </c>
      <c r="W89" s="18">
        <v>321</v>
      </c>
      <c r="X89" s="18">
        <v>314</v>
      </c>
      <c r="Y89" s="31">
        <v>316</v>
      </c>
      <c r="Z89" s="31">
        <v>310</v>
      </c>
      <c r="AA89" s="20">
        <v>266</v>
      </c>
    </row>
    <row r="90" spans="16:27" x14ac:dyDescent="0.25">
      <c r="P90" s="14"/>
      <c r="Q90" s="18" t="s">
        <v>30</v>
      </c>
      <c r="R90" s="18">
        <f>R89*(1-W87)</f>
        <v>578.62618469407494</v>
      </c>
      <c r="S90" s="18">
        <f>S89</f>
        <v>627</v>
      </c>
      <c r="T90" s="19">
        <v>164</v>
      </c>
      <c r="U90" s="19">
        <v>153</v>
      </c>
      <c r="V90" s="19">
        <v>150</v>
      </c>
      <c r="W90" s="18">
        <v>156</v>
      </c>
      <c r="X90" s="32">
        <v>152</v>
      </c>
      <c r="Y90" s="32">
        <v>155</v>
      </c>
      <c r="Z90" s="32">
        <v>160</v>
      </c>
      <c r="AA90" s="20"/>
    </row>
    <row r="91" spans="16:27" ht="15.75" thickBot="1" x14ac:dyDescent="0.3">
      <c r="P91" s="22"/>
      <c r="Q91" s="30"/>
      <c r="R91" s="24">
        <f>-((S90/R90)-1)</f>
        <v>-8.3601151461026202E-2</v>
      </c>
      <c r="S91" s="25"/>
      <c r="T91" s="26"/>
      <c r="U91" s="26"/>
      <c r="V91" s="26"/>
      <c r="W91" s="27"/>
      <c r="X91" s="24">
        <f>(V90/X86)-1</f>
        <v>-3.2507739938080427E-2</v>
      </c>
      <c r="Y91" s="24">
        <f>(U90/Y86)-1</f>
        <v>-3.2258064516129004E-2</v>
      </c>
      <c r="Z91" s="24">
        <f>(T90/Z86)-1</f>
        <v>4.9019607843137081E-3</v>
      </c>
      <c r="AA91" s="28"/>
    </row>
    <row r="92" spans="16:27" x14ac:dyDescent="0.25">
      <c r="P92" s="9"/>
      <c r="Q92" s="10"/>
      <c r="R92" s="10"/>
      <c r="S92" s="10"/>
      <c r="T92" s="11">
        <f>(T94/AA94)-1</f>
        <v>-3.2967032967032961E-2</v>
      </c>
      <c r="U92" s="11">
        <f>(U94/Z94)-1</f>
        <v>-3.1847133757961776E-3</v>
      </c>
      <c r="V92" s="11">
        <f>(V94/Y94)-1</f>
        <v>-3.1250000000000444E-3</v>
      </c>
      <c r="W92" s="12">
        <f>AVERAGE(T92:V92)</f>
        <v>-1.3092248780943061E-2</v>
      </c>
      <c r="X92" s="10"/>
      <c r="Y92" s="10"/>
      <c r="Z92" s="10"/>
      <c r="AA92" s="13"/>
    </row>
    <row r="93" spans="16:27" x14ac:dyDescent="0.25">
      <c r="P93" s="14" t="s">
        <v>43</v>
      </c>
      <c r="Q93" s="15" t="s">
        <v>26</v>
      </c>
      <c r="R93" s="15" t="s">
        <v>27</v>
      </c>
      <c r="S93" s="15" t="s">
        <v>28</v>
      </c>
      <c r="T93" s="15" t="s">
        <v>31</v>
      </c>
      <c r="U93" s="15" t="s">
        <v>32</v>
      </c>
      <c r="V93" s="15" t="s">
        <v>33</v>
      </c>
      <c r="W93" s="16" t="s">
        <v>34</v>
      </c>
      <c r="X93" s="16" t="s">
        <v>35</v>
      </c>
      <c r="Y93" s="15" t="s">
        <v>36</v>
      </c>
      <c r="Z93" s="15" t="s">
        <v>37</v>
      </c>
      <c r="AA93" s="17" t="s">
        <v>39</v>
      </c>
    </row>
    <row r="94" spans="16:27" x14ac:dyDescent="0.25">
      <c r="P94" s="14"/>
      <c r="Q94" s="18" t="s">
        <v>29</v>
      </c>
      <c r="R94" s="19">
        <v>604</v>
      </c>
      <c r="S94" s="19">
        <v>602</v>
      </c>
      <c r="T94" s="19">
        <v>264</v>
      </c>
      <c r="U94" s="19">
        <v>313</v>
      </c>
      <c r="V94" s="19">
        <v>319</v>
      </c>
      <c r="W94" s="18">
        <v>312</v>
      </c>
      <c r="X94" s="18">
        <v>322</v>
      </c>
      <c r="Y94" s="19">
        <v>320</v>
      </c>
      <c r="Z94" s="19">
        <v>314</v>
      </c>
      <c r="AA94" s="20">
        <v>273</v>
      </c>
    </row>
    <row r="95" spans="16:27" x14ac:dyDescent="0.25">
      <c r="P95" s="14"/>
      <c r="Q95" s="18" t="s">
        <v>30</v>
      </c>
      <c r="R95" s="18">
        <f>R94*(1-W92)</f>
        <v>611.90771826368962</v>
      </c>
      <c r="S95" s="18">
        <f>S94</f>
        <v>602</v>
      </c>
      <c r="T95" s="19">
        <v>163</v>
      </c>
      <c r="U95" s="19">
        <v>158</v>
      </c>
      <c r="V95" s="19">
        <v>148</v>
      </c>
      <c r="W95" s="18">
        <v>155</v>
      </c>
      <c r="X95" s="21">
        <v>148</v>
      </c>
      <c r="Y95" s="21">
        <v>148</v>
      </c>
      <c r="Z95" s="21">
        <v>155</v>
      </c>
      <c r="AA95" s="20"/>
    </row>
    <row r="96" spans="16:27" ht="15.75" thickBot="1" x14ac:dyDescent="0.3">
      <c r="P96" s="22"/>
      <c r="Q96" s="23"/>
      <c r="R96" s="24">
        <f>(S95/R95)-1</f>
        <v>-1.619152360392373E-2</v>
      </c>
      <c r="S96" s="25"/>
      <c r="T96" s="26">
        <f>(1.02)*T95</f>
        <v>166.26</v>
      </c>
      <c r="U96" s="26">
        <f>(1.02)*U95</f>
        <v>161.16</v>
      </c>
      <c r="V96" s="26">
        <f>(1.02)*V95</f>
        <v>150.96</v>
      </c>
      <c r="W96" s="27"/>
      <c r="X96" s="24">
        <f>(X95/V96)-1</f>
        <v>-1.9607843137254943E-2</v>
      </c>
      <c r="Y96" s="24">
        <f>(Y95/U96)-1</f>
        <v>-8.1657979647555168E-2</v>
      </c>
      <c r="Z96" s="24">
        <f>(Z95/T96)-1</f>
        <v>-6.7725249609046023E-2</v>
      </c>
      <c r="AA96" s="28"/>
    </row>
    <row r="98" spans="24:26" x14ac:dyDescent="0.25">
      <c r="X98" s="33">
        <f>(-X68+X73+X78+X83-X91+X96)/6</f>
        <v>-2.3278686166931479E-2</v>
      </c>
      <c r="Y98" s="33">
        <f>(-Y68+Y73+Y78+Y83-Y91+Y96)/6</f>
        <v>-2.8193944067554877E-2</v>
      </c>
      <c r="Z98" s="33">
        <f>(-Z68+Z73+Z78+Z83-Z91+Z96)/6</f>
        <v>-1.5607783795369331E-2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kcu_pow</vt:lpstr>
      <vt:lpstr>kcu_dep</vt:lpstr>
      <vt:lpstr>launch_pow</vt:lpstr>
      <vt:lpstr>launch_dep</vt:lpstr>
      <vt:lpstr>new</vt:lpstr>
      <vt:lpstr>Blad1</vt:lpstr>
      <vt:lpstr>copy_if_things_go_wrong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Poland</dc:creator>
  <cp:lastModifiedBy>Jelle Poland</cp:lastModifiedBy>
  <cp:lastPrinted>2021-10-14T14:25:45Z</cp:lastPrinted>
  <dcterms:created xsi:type="dcterms:W3CDTF">2021-10-08T12:55:03Z</dcterms:created>
  <dcterms:modified xsi:type="dcterms:W3CDTF">2021-11-03T10:20:50Z</dcterms:modified>
</cp:coreProperties>
</file>