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chartsheets/sheet1.xml" ContentType="application/vnd.openxmlformats-officedocument.spreadsheetml.chart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trlProps/ctrlProp31.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3.xml" ContentType="application/vnd.openxmlformats-officedocument.spreadsheetml.comments+xml"/>
  <Override PartName="/xl/drawings/drawing4.xml" ContentType="application/vnd.openxmlformats-officedocument.drawing+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omments4.xml" ContentType="application/vnd.openxmlformats-officedocument.spreadsheetml.comments+xml"/>
  <Override PartName="/xl/drawings/drawing5.xml" ContentType="application/vnd.openxmlformats-officedocument.drawing+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trlProps/ctrlProp77.xml" ContentType="application/vnd.ms-excel.controlproperties+xml"/>
  <Override PartName="/xl/drawings/drawing8.xml" ContentType="application/vnd.openxmlformats-officedocument.drawing+xml"/>
  <Override PartName="/xl/ctrlProps/ctrlProp78.xml" ContentType="application/vnd.ms-excel.controlproperties+xml"/>
  <Override PartName="/xl/ctrlProps/ctrlProp79.xml" ContentType="application/vnd.ms-excel.controlproperties+xml"/>
  <Override PartName="/xl/comments6.xml" ContentType="application/vnd.openxmlformats-officedocument.spreadsheetml.comments+xml"/>
  <Override PartName="/xl/drawings/drawing9.xml" ContentType="application/vnd.openxmlformats-officedocument.drawing+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omments7.xml" ContentType="application/vnd.openxmlformats-officedocument.spreadsheetml.comments+xml"/>
  <Override PartName="/xl/drawings/drawing10.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omments8.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omments9.xml" ContentType="application/vnd.openxmlformats-officedocument.spreadsheetml.comments+xml"/>
  <Override PartName="/xl/drawings/drawing1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codeName="ThisWorkbook" defaultThemeVersion="166925"/>
  <mc:AlternateContent xmlns:mc="http://schemas.openxmlformats.org/markup-compatibility/2006">
    <mc:Choice Requires="x15">
      <x15ac:absPath xmlns:x15ac="http://schemas.microsoft.com/office/spreadsheetml/2010/11/ac" url="C:\PhD\Publications\2022_Analytical-model-for-ground-gen-AWES\CodeScripts-and-datasets\"/>
    </mc:Choice>
  </mc:AlternateContent>
  <xr:revisionPtr revIDLastSave="0" documentId="13_ncr:1_{743595A0-A0BB-4A15-8A28-DF1B9B3E2484}" xr6:coauthVersionLast="47" xr6:coauthVersionMax="47" xr10:uidLastSave="{00000000-0000-0000-0000-000000000000}"/>
  <bookViews>
    <workbookView xWindow="28680" yWindow="-120" windowWidth="29040" windowHeight="15840" tabRatio="779" firstSheet="6" activeTab="15" xr2:uid="{00000000-000D-0000-FFFF-FFFF00000000}"/>
  </bookViews>
  <sheets>
    <sheet name="Version history" sheetId="31" r:id="rId1"/>
    <sheet name="Readme" sheetId="13" r:id="rId2"/>
    <sheet name="Lists" sheetId="12" r:id="rId3"/>
    <sheet name="KPIs" sheetId="45" r:id="rId4"/>
    <sheet name="KPI chart" sheetId="46" r:id="rId5"/>
    <sheet name="Overrides" sheetId="35" state="hidden" r:id="rId6"/>
    <sheet name="Inputs" sheetId="36" r:id="rId7"/>
    <sheet name="Sheet1" sheetId="48" r:id="rId8"/>
    <sheet name="Scenarios" sheetId="14" r:id="rId9"/>
    <sheet name="Analysis" sheetId="23" r:id="rId10"/>
    <sheet name="LCOE analysis" sheetId="30" r:id="rId11"/>
    <sheet name="Program BP" sheetId="25" r:id="rId12"/>
    <sheet name="DevCost" sheetId="24" r:id="rId13"/>
    <sheet name="Capex &amp; Opex" sheetId="11" r:id="rId14"/>
    <sheet name="Rishi" sheetId="47" r:id="rId15"/>
    <sheet name="Performance" sheetId="6" r:id="rId16"/>
    <sheet name="Solver" sheetId="29" r:id="rId17"/>
    <sheet name="MeanWindAngle" sheetId="4" r:id="rId18"/>
    <sheet name="Mass dependency" sheetId="7" r:id="rId19"/>
    <sheet name="Simple models" sheetId="8" r:id="rId20"/>
    <sheet name="Outputs" sheetId="38" r:id="rId21"/>
  </sheets>
  <externalReferences>
    <externalReference r:id="rId22"/>
    <externalReference r:id="rId23"/>
  </externalReferences>
  <definedNames>
    <definedName name="_Fill" localSheetId="10" hidden="1">'[1]Data Input'!#REF!</definedName>
    <definedName name="_Fill2" localSheetId="10" hidden="1">'[1]Data Input'!#REF!</definedName>
    <definedName name="_xlnm._FilterDatabase" localSheetId="12" hidden="1">DevCost!$A$6:$AP$253</definedName>
    <definedName name="_IV2000" localSheetId="4" hidden="1">'[2]Data Input'!#REF!</definedName>
    <definedName name="_IV2000" localSheetId="3" hidden="1">'[2]Data Input'!#REF!</definedName>
    <definedName name="_IV2000" localSheetId="20" hidden="1">'[2]Data Input'!#REF!</definedName>
    <definedName name="_IV2000" hidden="1">'[2]Data Input'!#REF!</definedName>
    <definedName name="_IV2000b" localSheetId="4" hidden="1">'[2]Data Input'!#REF!</definedName>
    <definedName name="_IV2000b" localSheetId="3" hidden="1">'[2]Data Input'!#REF!</definedName>
    <definedName name="_IV2000b" localSheetId="20" hidden="1">'[2]Data Input'!#REF!</definedName>
    <definedName name="_IV2000b" hidden="1">'[2]Data Input'!#REF!</definedName>
    <definedName name="A">Scenarios!$D$91</definedName>
    <definedName name="acc">Scenarios!$D$94</definedName>
    <definedName name="AEP">Performance!$C$6</definedName>
    <definedName name="AEP_inclDowntime">Performance!$C$17</definedName>
    <definedName name="AEP_noElecLoss">Performance!$C$16</definedName>
    <definedName name="AEP_noMechLoss">Performance!$C$16</definedName>
    <definedName name="Ampyx_WACC">Scenarios!$D$43</definedName>
    <definedName name="Ampyx_WACC_nr">Lists!$V$15</definedName>
    <definedName name="Ampyx_WACC_override">Analysis!$X$24</definedName>
    <definedName name="Ampyx_WACC_selected">Lists!$V$12</definedName>
    <definedName name="Ampyx_WACCs">Lists!$V$18:$V$32</definedName>
    <definedName name="average_wage">Scenarios!$D$42</definedName>
    <definedName name="avg_speed">Scenarios!$D$15</definedName>
    <definedName name="avg_wind_speed">Lists!$I$12</definedName>
    <definedName name="avg_wind_speed_nr">Lists!$I$15</definedName>
    <definedName name="avg_wind_speed_override">Analysis!$X$22</definedName>
    <definedName name="avg_wind_speeds">Lists!$I$18:$I$32</definedName>
    <definedName name="AWES_capex">'Capex &amp; Opex'!$Y$73</definedName>
    <definedName name="AWES_margin">Scenarios!$D$47</definedName>
    <definedName name="AWES_margin_nr">Lists!$Z$15</definedName>
    <definedName name="AWES_margin_override">Analysis!$X$26</definedName>
    <definedName name="AWES_margin_selected">Lists!$Z$12</definedName>
    <definedName name="AWES_margins">Lists!$Z$18:$Z$32</definedName>
    <definedName name="AWES_power">Lists!$M$12</definedName>
    <definedName name="AWES_power_nr">Lists!$M$15</definedName>
    <definedName name="AWES_powers">Lists!$M$18:$M$32</definedName>
    <definedName name="b">Scenarios!$D$89</definedName>
    <definedName name="backendRefUnitCost" localSheetId="20">Outputs!$C$123:$C$125</definedName>
    <definedName name="backendRefUnitCost">Inputs!$C$117:$C$119</definedName>
    <definedName name="cable_mass">Performance!$C$23</definedName>
    <definedName name="CapFac">Performance!$C$7</definedName>
    <definedName name="CD">Performance!$C$46</definedName>
    <definedName name="CL">Scenarios!$D$68</definedName>
    <definedName name="cph" localSheetId="20">Outputs!$C$44</definedName>
    <definedName name="cph">Inputs!$C$38</definedName>
    <definedName name="ctrlElecRefUnitCost" localSheetId="20">Outputs!$C$135:$C$137</definedName>
    <definedName name="ctrlElecRefUnitCost">Inputs!$C$129:$C$131</definedName>
    <definedName name="Dphi">Scenarios!$D$83</definedName>
    <definedName name="drivers">Analysis!$V$15:$V$29</definedName>
    <definedName name="Elec_price">Scenarios!$D$46</definedName>
    <definedName name="employer_contributions">Scenarios!$D$44</definedName>
    <definedName name="experience_factor_nr">Lists!$AH$15</definedName>
    <definedName name="experience_factor_selected">Lists!$AH$12</definedName>
    <definedName name="experience_factors">Lists!$AH$18:$AH$32</definedName>
    <definedName name="FF" localSheetId="4" hidden="1">'[2]Data Input'!#REF!</definedName>
    <definedName name="FF" localSheetId="3" hidden="1">'[2]Data Input'!#REF!</definedName>
    <definedName name="FF" localSheetId="20" hidden="1">'[2]Data Input'!#REF!</definedName>
    <definedName name="FF" hidden="1">'[2]Data Input'!#REF!</definedName>
    <definedName name="FFa" localSheetId="4" hidden="1">'[2]Data Input'!#REF!</definedName>
    <definedName name="FFa" localSheetId="3" hidden="1">'[2]Data Input'!#REF!</definedName>
    <definedName name="FFa" localSheetId="20" hidden="1">'[2]Data Input'!#REF!</definedName>
    <definedName name="FFa" hidden="1">'[2]Data Input'!#REF!</definedName>
    <definedName name="gen_letter">Lists!$C$12</definedName>
    <definedName name="gen_type">Lists!$B$12</definedName>
    <definedName name="gen_type_nr">Lists!$B$15</definedName>
    <definedName name="gen_types">Lists!$B$18:$B$21</definedName>
    <definedName name="generatorRefUnitCost" localSheetId="20">Outputs!$C$117,Outputs!$C$118,Outputs!$C$119</definedName>
    <definedName name="generatorRefUnitCost">Inputs!$C$111,Inputs!$C$112,Inputs!$C$113</definedName>
    <definedName name="greenfield">Lists!$C$25</definedName>
    <definedName name="horizon">Scenarios!$D$33</definedName>
    <definedName name="Horizon_nr">Lists!$AD$15</definedName>
    <definedName name="horizon_override">Analysis!$X$23</definedName>
    <definedName name="Horizon_selected">Lists!$AD$12</definedName>
    <definedName name="Horizons">Lists!$AD$18:$AD$32</definedName>
    <definedName name="indicator" localSheetId="3">KPIs!$E$4</definedName>
    <definedName name="indicator">Analysis!$V$44</definedName>
    <definedName name="indicator_nr">Analysis!$W$41</definedName>
    <definedName name="indicator_value">Analysis!$W$44</definedName>
    <definedName name="indicators">Analysis!$V$47:$V$92</definedName>
    <definedName name="inflation">Scenarios!$D$49</definedName>
    <definedName name="KPI_indicator" localSheetId="4">KPIs!$E$4</definedName>
    <definedName name="KPI_indicator" localSheetId="3">KPIs!$E$4</definedName>
    <definedName name="KPI_indicators">KPIs!$B$8:$B$63</definedName>
    <definedName name="L">Performance!$C$39</definedName>
    <definedName name="LCOE">'LCOE analysis'!$J$35</definedName>
    <definedName name="Mo" localSheetId="4">Inputs!#REF!</definedName>
    <definedName name="Mo" localSheetId="3">Inputs!#REF!</definedName>
    <definedName name="Mo" localSheetId="20">Outputs!#REF!</definedName>
    <definedName name="Mo">Inputs!#REF!</definedName>
    <definedName name="Mp">Scenarios!$D$30</definedName>
    <definedName name="Mp_override">Analysis!$X$21</definedName>
    <definedName name="Mp_t">Performance!$C$25</definedName>
    <definedName name="multiwingapproach">Scenarios!$D$90</definedName>
    <definedName name="N">Scenarios!$D$34</definedName>
    <definedName name="N_override">Analysis!$X$17</definedName>
    <definedName name="No" localSheetId="20">Outputs!$C$43</definedName>
    <definedName name="No">Inputs!$C$37</definedName>
    <definedName name="offshore">Lists!$C$27</definedName>
    <definedName name="offshore_floating">Lists!$C$29</definedName>
    <definedName name="P">Scenarios!$D$23</definedName>
    <definedName name="P_level">Lists!$R$12</definedName>
    <definedName name="P_level_nr">Lists!$R$15</definedName>
    <definedName name="P_level_override">Analysis!$X$18</definedName>
    <definedName name="P_levels">Lists!$R$18:$R$32</definedName>
    <definedName name="Park_AEP">Scenarios!$D$38</definedName>
    <definedName name="park_size">Lists!$O$12</definedName>
    <definedName name="park_size_nr">Lists!$O$15</definedName>
    <definedName name="park_sizes">Lists!$O$18:$O$32</definedName>
    <definedName name="peak_Mpwr_ratio">Scenarios!$D$62</definedName>
    <definedName name="PhiR">Scenarios!$D$83</definedName>
    <definedName name="Power_ratio" localSheetId="4">Scenarios!#REF!</definedName>
    <definedName name="Power_ratio" localSheetId="3">Scenarios!#REF!</definedName>
    <definedName name="Power_ratio" localSheetId="20">Scenarios!#REF!</definedName>
    <definedName name="Power_ratio">Scenarios!#REF!</definedName>
    <definedName name="Pp">Scenarios!$D$35</definedName>
    <definedName name="Project_WACC">Scenarios!$D$36</definedName>
    <definedName name="Project_WACC_nr">Lists!$X$15</definedName>
    <definedName name="Project_WACC_override">Analysis!$X$25</definedName>
    <definedName name="Project_WACC_selected">Lists!$X$12</definedName>
    <definedName name="Project_WACCs">Lists!$X$18:$X$32</definedName>
    <definedName name="Q">Scenarios!$D$28</definedName>
    <definedName name="Q_override">Analysis!$X$16</definedName>
    <definedName name="Q_prototype">Lists!$E$38</definedName>
    <definedName name="Q_prototypes">Lists!$E$41:$E$45</definedName>
    <definedName name="Qo" localSheetId="20">Outputs!$C$42</definedName>
    <definedName name="Qo">Inputs!$C$36</definedName>
    <definedName name="Qoffshore">Scenarios!$D$29</definedName>
    <definedName name="quantities">Lists!$K$18:$K$32</definedName>
    <definedName name="quantity">Lists!$K$12</definedName>
    <definedName name="quantity_nr">Lists!$K$15</definedName>
    <definedName name="ref_speed">Scenarios!$D$11</definedName>
    <definedName name="ref_wind_speed">Lists!$I$12</definedName>
    <definedName name="ref_wind_speed_nr">Lists!$I$14</definedName>
    <definedName name="ref_wind_speed_override">Analysis!$X$22</definedName>
    <definedName name="ref_wind_speeds">Lists!$I$18:$I$32</definedName>
    <definedName name="ref_wing_area">DevCost!$P$6</definedName>
    <definedName name="Revenues">Scenarios!$D$39</definedName>
    <definedName name="rho">Performance!$C$53</definedName>
    <definedName name="scaling_factor_nr">Lists!$AF$15</definedName>
    <definedName name="scaling_factor_selected">Lists!$AF$12</definedName>
    <definedName name="scaling_factors">Lists!$AF$18:$AF$32</definedName>
    <definedName name="scenario">Lists!$E$12</definedName>
    <definedName name="scenario_nr">Lists!$E$15</definedName>
    <definedName name="scenario_size">Lists!$G$12</definedName>
    <definedName name="scenario_size_nr">Lists!$G$15</definedName>
    <definedName name="scenario_sizes">Lists!$G$18:$G$32</definedName>
    <definedName name="scenarios">Lists!$E$18:$E$30</definedName>
    <definedName name="sigma">Scenarios!$D$17</definedName>
    <definedName name="solver_adj" localSheetId="9" hidden="1">Analysis!$AE$8:$AE$9</definedName>
    <definedName name="solver_adj" localSheetId="16" hidden="1">Solver!$D$13</definedName>
    <definedName name="solver_cvg" localSheetId="9" hidden="1">0.01</definedName>
    <definedName name="solver_cvg" localSheetId="16" hidden="1">0.0001</definedName>
    <definedName name="solver_drv" localSheetId="9" hidden="1">1</definedName>
    <definedName name="solver_drv" localSheetId="16" hidden="1">1</definedName>
    <definedName name="solver_eng" localSheetId="9" hidden="1">1</definedName>
    <definedName name="solver_eng" localSheetId="16" hidden="1">1</definedName>
    <definedName name="solver_est" localSheetId="9" hidden="1">1</definedName>
    <definedName name="solver_est" localSheetId="16" hidden="1">1</definedName>
    <definedName name="solver_itr" localSheetId="9" hidden="1">2147483647</definedName>
    <definedName name="solver_itr" localSheetId="16" hidden="1">10</definedName>
    <definedName name="solver_lhs1" localSheetId="9" hidden="1">Analysis!#REF!</definedName>
    <definedName name="solver_lhs1" localSheetId="16" hidden="1">Solver!$D$12</definedName>
    <definedName name="solver_lhs2" localSheetId="9" hidden="1">Analysis!#REF!</definedName>
    <definedName name="solver_lhs2" localSheetId="16" hidden="1">Solver!$D$12</definedName>
    <definedName name="solver_lhs3" localSheetId="9" hidden="1">Analysis!$AE$8</definedName>
    <definedName name="solver_lhs3" localSheetId="16" hidden="1">Solver!$D$13</definedName>
    <definedName name="solver_lhs4" localSheetId="9" hidden="1">Analysis!$AE$8</definedName>
    <definedName name="solver_lhs4" localSheetId="16" hidden="1">Solver!$D$13</definedName>
    <definedName name="solver_lhs5" localSheetId="9" hidden="1">Analysis!$AE$9</definedName>
    <definedName name="solver_lhs5" localSheetId="16" hidden="1">Solver!$D$11</definedName>
    <definedName name="solver_lhs6" localSheetId="9" hidden="1">Analysis!$AE$9</definedName>
    <definedName name="solver_lhs6" localSheetId="16" hidden="1">Solver!$D$11</definedName>
    <definedName name="solver_mip" localSheetId="9" hidden="1">2147483647</definedName>
    <definedName name="solver_mip" localSheetId="16" hidden="1">2147483647</definedName>
    <definedName name="solver_mni" localSheetId="9" hidden="1">15</definedName>
    <definedName name="solver_mni" localSheetId="16" hidden="1">30</definedName>
    <definedName name="solver_mrt" localSheetId="9" hidden="1">0.075</definedName>
    <definedName name="solver_mrt" localSheetId="16" hidden="1">0.2</definedName>
    <definedName name="solver_msl" localSheetId="9" hidden="1">1</definedName>
    <definedName name="solver_msl" localSheetId="16" hidden="1">2</definedName>
    <definedName name="solver_neg" localSheetId="9" hidden="1">1</definedName>
    <definedName name="solver_neg" localSheetId="16" hidden="1">1</definedName>
    <definedName name="solver_nod" localSheetId="9" hidden="1">2147483647</definedName>
    <definedName name="solver_nod" localSheetId="16" hidden="1">2147483647</definedName>
    <definedName name="solver_num" localSheetId="9" hidden="1">6</definedName>
    <definedName name="solver_num" localSheetId="16" hidden="1">0</definedName>
    <definedName name="solver_nwt" localSheetId="9" hidden="1">1</definedName>
    <definedName name="solver_nwt" localSheetId="16" hidden="1">1</definedName>
    <definedName name="solver_opt" localSheetId="9" hidden="1">Analysis!$AE$10</definedName>
    <definedName name="solver_opt" localSheetId="16" hidden="1">Solver!$D$19</definedName>
    <definedName name="Solver_P">Solver!$D$12</definedName>
    <definedName name="solver_pre" localSheetId="9" hidden="1">0.01</definedName>
    <definedName name="solver_pre" localSheetId="16" hidden="1">0.0001</definedName>
    <definedName name="solver_rbv" localSheetId="9" hidden="1">1</definedName>
    <definedName name="solver_rbv" localSheetId="16" hidden="1">2</definedName>
    <definedName name="solver_rel1" localSheetId="9" hidden="1">1</definedName>
    <definedName name="solver_rel1" localSheetId="16" hidden="1">1</definedName>
    <definedName name="solver_rel2" localSheetId="9" hidden="1">3</definedName>
    <definedName name="solver_rel2" localSheetId="16" hidden="1">3</definedName>
    <definedName name="solver_rel3" localSheetId="9" hidden="1">1</definedName>
    <definedName name="solver_rel3" localSheetId="16" hidden="1">1</definedName>
    <definedName name="solver_rel4" localSheetId="9" hidden="1">3</definedName>
    <definedName name="solver_rel4" localSheetId="16" hidden="1">3</definedName>
    <definedName name="solver_rel5" localSheetId="9" hidden="1">1</definedName>
    <definedName name="solver_rel5" localSheetId="16" hidden="1">3</definedName>
    <definedName name="solver_rel6" localSheetId="9" hidden="1">3</definedName>
    <definedName name="solver_rel6" localSheetId="16" hidden="1">3</definedName>
    <definedName name="solver_rhs1" localSheetId="9" hidden="1">25</definedName>
    <definedName name="solver_rhs1" localSheetId="16" hidden="1">5000</definedName>
    <definedName name="solver_rhs2" localSheetId="9" hidden="1">10</definedName>
    <definedName name="solver_rhs2" localSheetId="16" hidden="1">1000</definedName>
    <definedName name="solver_rhs3" localSheetId="9" hidden="1">0.3</definedName>
    <definedName name="solver_rhs3" localSheetId="16" hidden="1">4000</definedName>
    <definedName name="solver_rhs4" localSheetId="9" hidden="1">0.1</definedName>
    <definedName name="solver_rhs4" localSheetId="16" hidden="1">100</definedName>
    <definedName name="solver_rhs5" localSheetId="9" hidden="1">0.3</definedName>
    <definedName name="solver_rhs5" localSheetId="16" hidden="1">12</definedName>
    <definedName name="solver_rhs6" localSheetId="9" hidden="1">0.1</definedName>
    <definedName name="solver_rhs6" localSheetId="16" hidden="1">12</definedName>
    <definedName name="solver_rlx" localSheetId="9" hidden="1">2</definedName>
    <definedName name="solver_rlx" localSheetId="16" hidden="1">2</definedName>
    <definedName name="solver_rsd" localSheetId="9" hidden="1">7</definedName>
    <definedName name="solver_rsd" localSheetId="16" hidden="1">7</definedName>
    <definedName name="solver_scl" localSheetId="9" hidden="1">1</definedName>
    <definedName name="solver_scl" localSheetId="16" hidden="1">2</definedName>
    <definedName name="solver_sho" localSheetId="9" hidden="1">2</definedName>
    <definedName name="solver_sho" localSheetId="16" hidden="1">2</definedName>
    <definedName name="solver_ssz" localSheetId="9" hidden="1">100</definedName>
    <definedName name="solver_ssz" localSheetId="16" hidden="1">100</definedName>
    <definedName name="solver_tim" localSheetId="9" hidden="1">30</definedName>
    <definedName name="solver_tim" localSheetId="16" hidden="1">10</definedName>
    <definedName name="Solver_Tmax">Solver!$D$13</definedName>
    <definedName name="solver_tol" localSheetId="9" hidden="1">0.01</definedName>
    <definedName name="solver_tol" localSheetId="16" hidden="1">0.01</definedName>
    <definedName name="solver_typ" localSheetId="9" hidden="1">2</definedName>
    <definedName name="solver_typ" localSheetId="16" hidden="1">2</definedName>
    <definedName name="solver_val" localSheetId="9" hidden="1">0</definedName>
    <definedName name="solver_val" localSheetId="16" hidden="1">0</definedName>
    <definedName name="solver_ver" localSheetId="9" hidden="1">3</definedName>
    <definedName name="solver_ver" localSheetId="16" hidden="1">3</definedName>
    <definedName name="Solver_wingarea">Solver!$D$11</definedName>
    <definedName name="SP_margin">Scenarios!$D$48</definedName>
    <definedName name="SP_margin_nr">Lists!$AB$15</definedName>
    <definedName name="SP_margin_override">Analysis!$X$27</definedName>
    <definedName name="SP_margin_selected">Lists!$AB$12</definedName>
    <definedName name="SP_margins">Lists!$AB$18:$AB$32</definedName>
    <definedName name="steelworkRefUnitCost" localSheetId="20">Outputs!$C$142:$C$144</definedName>
    <definedName name="steelworkRefUnitCost">Inputs!$C$136:$C$138</definedName>
    <definedName name="storageRefUnitCost" localSheetId="20">Outputs!$C$129:$C$131</definedName>
    <definedName name="storageRefUnitCost">Inputs!$C$123:$C$125</definedName>
    <definedName name="Theta">Scenarios!$D$74</definedName>
    <definedName name="theta_nr">Lists!$AJ$15</definedName>
    <definedName name="theta_override">Analysis!$X$28</definedName>
    <definedName name="theta_selected">Lists!$AJ$12</definedName>
    <definedName name="thetas">Lists!$AJ$18:$AJ$32</definedName>
    <definedName name="Tmax_p">Scenarios!$D$26</definedName>
    <definedName name="Tmax_p_ratio">Scenarios!$D$24</definedName>
    <definedName name="Tmax_t">Scenarios!$D$27</definedName>
    <definedName name="Tp_level">Lists!$S$12</definedName>
    <definedName name="Tp_level_nr">Lists!$S$15</definedName>
    <definedName name="Tp_level_override">Analysis!$X$19</definedName>
    <definedName name="Tp_levels">Lists!$S$18:$S$32</definedName>
    <definedName name="Tt_level">Lists!$T$12</definedName>
    <definedName name="Tt_level_nr">Lists!$T$15</definedName>
    <definedName name="Tt_level_override">Analysis!$X$20</definedName>
    <definedName name="Tt_levels">Lists!$T$18:$T$32</definedName>
    <definedName name="unit_power">Lists!$M$12</definedName>
    <definedName name="unit_power_nr">Lists!$M$15</definedName>
    <definedName name="unit_powers">Lists!$M$18:$M$32</definedName>
    <definedName name="vRImax">Scenarios!$D$88</definedName>
    <definedName name="WACC">Scenarios!$D$43</definedName>
    <definedName name="whpy" localSheetId="20">Outputs!$C$40</definedName>
    <definedName name="whpy">Inputs!$C$34</definedName>
    <definedName name="wing_area">Scenarios!$D$20</definedName>
    <definedName name="wing_area_override">Analysis!$X$15</definedName>
    <definedName name="Wo" localSheetId="20">Outputs!$C$41</definedName>
    <definedName name="Wo">Inputs!$C$35</definedName>
    <definedName name="wrn.Actual._.Data._.Entry." localSheetId="10" hidden="1">{#N/A,#N/A,FALSE,"Sales"}</definedName>
    <definedName name="wrn.Annual_n_Quarterly." localSheetId="10" hidden="1">{"Annual",#N/A,FALSE,"Sales &amp; Market";"Quarterly",#N/A,FALSE,"Sales &amp; Market"}</definedName>
    <definedName name="wrn.Assumptions." localSheetId="10" hidden="1">{#N/A,#N/A,FALSE,"Assumptions"}</definedName>
    <definedName name="wrn.Financing." localSheetId="10" hidden="1">{#N/A,#N/A,FALSE,"Financing"}</definedName>
    <definedName name="wrn.Fuil._.Report." localSheetId="10" hidden="1">{#N/A,#N/A,FALSE,"Title";#N/A,#N/A,FALSE,"Index";#N/A,#N/A,FALSE,"Summary";#N/A,#N/A,FALSE,"Fin stat";#N/A,#N/A,FALSE,"Index (2)";#N/A,#N/A,FALSE,"Assumptions";#N/A,#N/A,FALSE,"Revenue";#N/A,#N/A,FALSE,"Operating costs";#N/A,#N/A,FALSE,"Project Capital Cost";#N/A,#N/A,FALSE,"Financing"}</definedName>
    <definedName name="wrn.Operating._.costs." localSheetId="10" hidden="1">{#N/A,#N/A,FALSE,"Operating costs"}</definedName>
    <definedName name="wrn.print." localSheetId="10" hidden="1">{#N/A,#N/A,FALSE,"Financial";#N/A,#N/A,FALSE,"Balance Sheet";#N/A,#N/A,FALSE,"Income stmt";#N/A,#N/A,FALSE,"Ratio"}</definedName>
    <definedName name="wrn.Project._.capital." localSheetId="10" hidden="1">{#N/A,#N/A,FALSE,"Project Capital Cost"}</definedName>
    <definedName name="wrn.Revenue." localSheetId="10" hidden="1">{#N/A,#N/A,FALSE,"Revenue"}</definedName>
    <definedName name="wrn.Sensitivity._.graph." localSheetId="10" hidden="1">{#N/A,#N/A,FALSE,"Sensitivity Cases"}</definedName>
    <definedName name="wrn.Summary.Fin._.stat." localSheetId="10" hidden="1">{#N/A,#N/A,TRUE,"Title";#N/A,#N/A,TRUE,"Summary";#N/A,#N/A,TRUE,"Fin stat"}</definedName>
    <definedName name="x" localSheetId="10" hidden="1">{#N/A,#N/A,FALSE,"Assumptions"}</definedName>
    <definedName name="X_axis">Analysis!$V$32</definedName>
    <definedName name="X_axis_nr">Analysis!$Y$32</definedName>
    <definedName name="X_axis_value">Analysis!$W$32</definedName>
    <definedName name="Y_axis">Analysis!$V$33</definedName>
    <definedName name="Y_axis_nr">Analysis!$Y$33</definedName>
    <definedName name="Y_axis_value">Analysis!$W$33</definedName>
    <definedName name="yearlyDowntime">Performance!$C$18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8" i="14" l="1"/>
  <c r="S96" i="14"/>
  <c r="S67" i="14"/>
  <c r="G112" i="6"/>
  <c r="P474" i="36"/>
  <c r="S22" i="14"/>
  <c r="D22" i="14" s="1"/>
  <c r="J53" i="30"/>
  <c r="AN4" i="4"/>
  <c r="AL8" i="4"/>
  <c r="Z26" i="6"/>
  <c r="Z27" i="6"/>
  <c r="Z28" i="6"/>
  <c r="Z29" i="6"/>
  <c r="Z30" i="6"/>
  <c r="Z31" i="6"/>
  <c r="Z32" i="6"/>
  <c r="Z33" i="6"/>
  <c r="Z34" i="6"/>
  <c r="S90" i="14"/>
  <c r="S89" i="14"/>
  <c r="S88" i="14"/>
  <c r="S60" i="14"/>
  <c r="S65" i="14"/>
  <c r="X12" i="4"/>
  <c r="S24" i="14" l="1"/>
  <c r="H512" i="36"/>
  <c r="H502" i="36"/>
  <c r="H501" i="36"/>
  <c r="H506" i="36"/>
  <c r="H475" i="36" s="1"/>
  <c r="H521" i="36"/>
  <c r="H513" i="36"/>
  <c r="AN105" i="4"/>
  <c r="AN106" i="4"/>
  <c r="AN107" i="4"/>
  <c r="AN108" i="4"/>
  <c r="AN113" i="4"/>
  <c r="AN114" i="4"/>
  <c r="AN115" i="4"/>
  <c r="AN116" i="4"/>
  <c r="AN121" i="4"/>
  <c r="AN122" i="4"/>
  <c r="AN123" i="4"/>
  <c r="AN124" i="4"/>
  <c r="AU99" i="4"/>
  <c r="AV99" i="4"/>
  <c r="BC99" i="4"/>
  <c r="BD99" i="4"/>
  <c r="AA70" i="4"/>
  <c r="AB70" i="4"/>
  <c r="AC70" i="4"/>
  <c r="AD70" i="4"/>
  <c r="AE70" i="4"/>
  <c r="AF70" i="4"/>
  <c r="AG70" i="4"/>
  <c r="AH70" i="4"/>
  <c r="AI70" i="4"/>
  <c r="AJ70" i="4"/>
  <c r="AK70" i="4"/>
  <c r="AL70" i="4"/>
  <c r="BI70" i="4"/>
  <c r="AO70" i="4"/>
  <c r="AO99" i="4" s="1"/>
  <c r="AP70" i="4"/>
  <c r="AP99" i="4" s="1"/>
  <c r="AQ70" i="4"/>
  <c r="AQ99" i="4" s="1"/>
  <c r="AR70" i="4"/>
  <c r="AR99" i="4" s="1"/>
  <c r="AS70" i="4"/>
  <c r="AS99" i="4" s="1"/>
  <c r="AT70" i="4"/>
  <c r="AT99" i="4" s="1"/>
  <c r="AU70" i="4"/>
  <c r="AV70" i="4"/>
  <c r="AW70" i="4"/>
  <c r="AW99" i="4" s="1"/>
  <c r="AX70" i="4"/>
  <c r="AX99" i="4" s="1"/>
  <c r="AY70" i="4"/>
  <c r="AY99" i="4" s="1"/>
  <c r="AZ70" i="4"/>
  <c r="AZ99" i="4" s="1"/>
  <c r="BA70" i="4"/>
  <c r="BA99" i="4" s="1"/>
  <c r="BB70" i="4"/>
  <c r="BB99" i="4" s="1"/>
  <c r="BC70" i="4"/>
  <c r="BD70" i="4"/>
  <c r="BE70" i="4"/>
  <c r="BE99" i="4" s="1"/>
  <c r="BF70" i="4"/>
  <c r="BF99" i="4" s="1"/>
  <c r="BG70" i="4"/>
  <c r="BG99" i="4" s="1"/>
  <c r="BH70" i="4"/>
  <c r="BH99" i="4" s="1"/>
  <c r="AA71" i="4"/>
  <c r="AN100" i="4" s="1"/>
  <c r="AA72" i="4"/>
  <c r="AN101" i="4" s="1"/>
  <c r="AA73" i="4"/>
  <c r="AN102" i="4" s="1"/>
  <c r="AA74" i="4"/>
  <c r="AN103" i="4" s="1"/>
  <c r="AA75" i="4"/>
  <c r="AN104" i="4" s="1"/>
  <c r="AA76" i="4"/>
  <c r="AA77" i="4"/>
  <c r="AA78" i="4"/>
  <c r="AA79" i="4"/>
  <c r="AA80" i="4"/>
  <c r="AN109" i="4" s="1"/>
  <c r="AA81" i="4"/>
  <c r="AN110" i="4" s="1"/>
  <c r="AA82" i="4"/>
  <c r="AN111" i="4" s="1"/>
  <c r="AA83" i="4"/>
  <c r="AN112" i="4" s="1"/>
  <c r="AA84" i="4"/>
  <c r="AA85" i="4"/>
  <c r="AA86" i="4"/>
  <c r="AA87" i="4"/>
  <c r="AA88" i="4"/>
  <c r="AN117" i="4" s="1"/>
  <c r="AA89" i="4"/>
  <c r="AN118" i="4" s="1"/>
  <c r="AA90" i="4"/>
  <c r="AN119" i="4" s="1"/>
  <c r="AA91" i="4"/>
  <c r="AN120" i="4" s="1"/>
  <c r="AA92" i="4"/>
  <c r="AA93" i="4"/>
  <c r="AA94" i="4"/>
  <c r="AA95" i="4"/>
  <c r="AL4" i="4"/>
  <c r="AM5" i="4"/>
  <c r="AN5" i="4"/>
  <c r="AM6" i="4"/>
  <c r="AN6" i="4"/>
  <c r="AL7" i="4"/>
  <c r="AM7" i="4"/>
  <c r="AN7" i="4"/>
  <c r="AM8" i="4"/>
  <c r="AN8" i="4"/>
  <c r="AM9" i="4"/>
  <c r="AN9" i="4"/>
  <c r="AL10" i="4"/>
  <c r="AM10" i="4"/>
  <c r="AN10" i="4"/>
  <c r="AM11" i="4"/>
  <c r="AN11" i="4"/>
  <c r="AL12" i="4"/>
  <c r="AM12" i="4"/>
  <c r="AN12" i="4"/>
  <c r="AM13" i="4"/>
  <c r="AN13" i="4"/>
  <c r="AM14" i="4"/>
  <c r="AN14" i="4"/>
  <c r="AM4" i="4"/>
  <c r="AM18" i="4" s="1"/>
  <c r="AE6" i="4"/>
  <c r="AE7" i="4"/>
  <c r="AE8" i="4"/>
  <c r="AE5" i="4"/>
  <c r="AL5" i="4" s="1"/>
  <c r="AL14" i="4" l="1"/>
  <c r="AL6" i="4"/>
  <c r="AL9" i="4"/>
  <c r="AL11" i="4"/>
  <c r="AL18" i="4"/>
  <c r="AL13" i="4"/>
  <c r="AN18" i="4"/>
  <c r="C12" i="12" l="1"/>
  <c r="B12" i="12"/>
  <c r="G12" i="12" a="1"/>
  <c r="G12" i="12" s="1"/>
  <c r="D101" i="14" l="1"/>
  <c r="I101" i="14"/>
  <c r="J101" i="14"/>
  <c r="K101" i="14"/>
  <c r="L101" i="14"/>
  <c r="M101" i="14"/>
  <c r="N101" i="14"/>
  <c r="O101" i="14"/>
  <c r="P101" i="14"/>
  <c r="Q101" i="14"/>
  <c r="R101" i="14"/>
  <c r="S101" i="14"/>
  <c r="M36" i="45" l="1"/>
  <c r="L36" i="45"/>
  <c r="F40" i="45"/>
  <c r="N11" i="14" l="1"/>
  <c r="I63" i="45"/>
  <c r="Q24" i="14"/>
  <c r="P24" i="14"/>
  <c r="O24" i="14"/>
  <c r="N24" i="14"/>
  <c r="M24" i="14"/>
  <c r="Q22" i="14"/>
  <c r="P22" i="14"/>
  <c r="O22" i="14"/>
  <c r="N22" i="14"/>
  <c r="L17" i="45"/>
  <c r="M17" i="45"/>
  <c r="S11" i="14"/>
  <c r="R11" i="14"/>
  <c r="Q11" i="14"/>
  <c r="P11" i="14"/>
  <c r="O11" i="14"/>
  <c r="M11" i="14"/>
  <c r="L11" i="14"/>
  <c r="K11" i="14"/>
  <c r="J11" i="14"/>
  <c r="I11" i="14"/>
  <c r="AE17" i="45"/>
  <c r="N17" i="45"/>
  <c r="AE16" i="45"/>
  <c r="AE18" i="45" l="1"/>
  <c r="D13" i="14"/>
  <c r="S12" i="14"/>
  <c r="S15" i="14" s="1"/>
  <c r="R12" i="14"/>
  <c r="R15" i="14" s="1"/>
  <c r="Q12" i="14"/>
  <c r="P12" i="14"/>
  <c r="P15" i="14" s="1"/>
  <c r="O12" i="14"/>
  <c r="O15" i="14" s="1"/>
  <c r="N12" i="14"/>
  <c r="N15" i="14" s="1"/>
  <c r="M12" i="14"/>
  <c r="M15" i="14" s="1"/>
  <c r="L12" i="14"/>
  <c r="L15" i="14" s="1"/>
  <c r="K12" i="14"/>
  <c r="K15" i="14" s="1"/>
  <c r="J12" i="14"/>
  <c r="J15" i="14" s="1"/>
  <c r="I12" i="14"/>
  <c r="I15" i="14" s="1"/>
  <c r="D12" i="14" l="1"/>
  <c r="S17" i="45" s="1"/>
  <c r="Q15" i="14"/>
  <c r="AJ12" i="12" a="1"/>
  <c r="AJ12" i="12" s="1"/>
  <c r="O16" i="45" l="1"/>
  <c r="O18" i="45" s="1"/>
  <c r="N16" i="45"/>
  <c r="N18" i="45" s="1"/>
  <c r="I74" i="14" l="1"/>
  <c r="J74" i="14"/>
  <c r="E29" i="23" l="1"/>
  <c r="F29" i="23"/>
  <c r="G29" i="23"/>
  <c r="H29" i="23"/>
  <c r="I29" i="23"/>
  <c r="J29" i="23"/>
  <c r="K29" i="23"/>
  <c r="L29" i="23"/>
  <c r="M29" i="23"/>
  <c r="N29" i="23"/>
  <c r="O29" i="23"/>
  <c r="P29" i="23"/>
  <c r="Q29" i="23"/>
  <c r="R29" i="23"/>
  <c r="E30" i="23"/>
  <c r="F30" i="23"/>
  <c r="G30" i="23"/>
  <c r="H30" i="23"/>
  <c r="I30" i="23"/>
  <c r="J30" i="23"/>
  <c r="K30" i="23"/>
  <c r="L30" i="23"/>
  <c r="M30" i="23"/>
  <c r="N30" i="23"/>
  <c r="O30" i="23"/>
  <c r="P30" i="23"/>
  <c r="Q30" i="23"/>
  <c r="R30" i="23"/>
  <c r="E31" i="23"/>
  <c r="F31" i="23"/>
  <c r="G31" i="23"/>
  <c r="H31" i="23"/>
  <c r="I31" i="23"/>
  <c r="J31" i="23"/>
  <c r="K31" i="23"/>
  <c r="L31" i="23"/>
  <c r="M31" i="23"/>
  <c r="N31" i="23"/>
  <c r="O31" i="23"/>
  <c r="P31" i="23"/>
  <c r="Q31" i="23"/>
  <c r="R31" i="23"/>
  <c r="E32" i="23"/>
  <c r="F32" i="23"/>
  <c r="G32" i="23"/>
  <c r="H32" i="23"/>
  <c r="I32" i="23"/>
  <c r="J32" i="23"/>
  <c r="K32" i="23"/>
  <c r="L32" i="23"/>
  <c r="M32" i="23"/>
  <c r="N32" i="23"/>
  <c r="O32" i="23"/>
  <c r="P32" i="23"/>
  <c r="Q32" i="23"/>
  <c r="R32" i="23"/>
  <c r="E33" i="23"/>
  <c r="F33" i="23"/>
  <c r="G33" i="23"/>
  <c r="H33" i="23"/>
  <c r="I33" i="23"/>
  <c r="J33" i="23"/>
  <c r="K33" i="23"/>
  <c r="L33" i="23"/>
  <c r="M33" i="23"/>
  <c r="N33" i="23"/>
  <c r="O33" i="23"/>
  <c r="P33" i="23"/>
  <c r="Q33" i="23"/>
  <c r="R33" i="23"/>
  <c r="E34" i="23"/>
  <c r="F34" i="23"/>
  <c r="G34" i="23"/>
  <c r="H34" i="23"/>
  <c r="I34" i="23"/>
  <c r="J34" i="23"/>
  <c r="K34" i="23"/>
  <c r="L34" i="23"/>
  <c r="M34" i="23"/>
  <c r="N34" i="23"/>
  <c r="O34" i="23"/>
  <c r="P34" i="23"/>
  <c r="Q34" i="23"/>
  <c r="R34" i="23"/>
  <c r="E35" i="23"/>
  <c r="F35" i="23"/>
  <c r="G35" i="23"/>
  <c r="H35" i="23"/>
  <c r="I35" i="23"/>
  <c r="J35" i="23"/>
  <c r="K35" i="23"/>
  <c r="L35" i="23"/>
  <c r="M35" i="23"/>
  <c r="N35" i="23"/>
  <c r="O35" i="23"/>
  <c r="P35" i="23"/>
  <c r="Q35" i="23"/>
  <c r="R35" i="23"/>
  <c r="E36" i="23"/>
  <c r="F36" i="23"/>
  <c r="G36" i="23"/>
  <c r="H36" i="23"/>
  <c r="I36" i="23"/>
  <c r="J36" i="23"/>
  <c r="K36" i="23"/>
  <c r="L36" i="23"/>
  <c r="M36" i="23"/>
  <c r="N36" i="23"/>
  <c r="O36" i="23"/>
  <c r="P36" i="23"/>
  <c r="Q36" i="23"/>
  <c r="R36" i="23"/>
  <c r="E37" i="23"/>
  <c r="F37" i="23"/>
  <c r="G37" i="23"/>
  <c r="H37" i="23"/>
  <c r="I37" i="23"/>
  <c r="J37" i="23"/>
  <c r="K37" i="23"/>
  <c r="L37" i="23"/>
  <c r="M37" i="23"/>
  <c r="N37" i="23"/>
  <c r="O37" i="23"/>
  <c r="P37" i="23"/>
  <c r="Q37" i="23"/>
  <c r="R37" i="23"/>
  <c r="E38" i="23"/>
  <c r="F38" i="23"/>
  <c r="G38" i="23"/>
  <c r="H38" i="23"/>
  <c r="I38" i="23"/>
  <c r="J38" i="23"/>
  <c r="K38" i="23"/>
  <c r="L38" i="23"/>
  <c r="M38" i="23"/>
  <c r="N38" i="23"/>
  <c r="O38" i="23"/>
  <c r="P38" i="23"/>
  <c r="Q38" i="23"/>
  <c r="R38" i="23"/>
  <c r="E39" i="23"/>
  <c r="F39" i="23"/>
  <c r="G39" i="23"/>
  <c r="H39" i="23"/>
  <c r="I39" i="23"/>
  <c r="J39" i="23"/>
  <c r="K39" i="23"/>
  <c r="L39" i="23"/>
  <c r="M39" i="23"/>
  <c r="N39" i="23"/>
  <c r="O39" i="23"/>
  <c r="P39" i="23"/>
  <c r="Q39" i="23"/>
  <c r="R39" i="23"/>
  <c r="E40" i="23"/>
  <c r="F40" i="23"/>
  <c r="G40" i="23"/>
  <c r="H40" i="23"/>
  <c r="I40" i="23"/>
  <c r="J40" i="23"/>
  <c r="K40" i="23"/>
  <c r="L40" i="23"/>
  <c r="M40" i="23"/>
  <c r="N40" i="23"/>
  <c r="O40" i="23"/>
  <c r="P40" i="23"/>
  <c r="Q40" i="23"/>
  <c r="R40" i="23"/>
  <c r="E41" i="23"/>
  <c r="F41" i="23"/>
  <c r="G41" i="23"/>
  <c r="H41" i="23"/>
  <c r="I41" i="23"/>
  <c r="J41" i="23"/>
  <c r="K41" i="23"/>
  <c r="L41" i="23"/>
  <c r="M41" i="23"/>
  <c r="N41" i="23"/>
  <c r="O41" i="23"/>
  <c r="P41" i="23"/>
  <c r="Q41" i="23"/>
  <c r="R41" i="23"/>
  <c r="E42" i="23"/>
  <c r="F42" i="23"/>
  <c r="G42" i="23"/>
  <c r="H42" i="23"/>
  <c r="I42" i="23"/>
  <c r="J42" i="23"/>
  <c r="K42" i="23"/>
  <c r="L42" i="23"/>
  <c r="M42" i="23"/>
  <c r="N42" i="23"/>
  <c r="O42" i="23"/>
  <c r="P42" i="23"/>
  <c r="Q42" i="23"/>
  <c r="R42" i="23"/>
  <c r="Q60" i="45"/>
  <c r="P60" i="45"/>
  <c r="P50" i="45"/>
  <c r="P52" i="45" s="1"/>
  <c r="P36" i="45"/>
  <c r="P24" i="45"/>
  <c r="P49" i="45" s="1"/>
  <c r="P47" i="45" s="1"/>
  <c r="P23" i="45"/>
  <c r="P59" i="45" s="1"/>
  <c r="P11" i="45"/>
  <c r="P63" i="45" s="1"/>
  <c r="I60" i="45"/>
  <c r="G60" i="45"/>
  <c r="J60" i="45"/>
  <c r="K60" i="45" s="1"/>
  <c r="O60" i="45"/>
  <c r="N60" i="45"/>
  <c r="Q50" i="45"/>
  <c r="E5" i="45"/>
  <c r="D5" i="45" s="1"/>
  <c r="Q24" i="45"/>
  <c r="A8" i="45"/>
  <c r="A9" i="45" s="1"/>
  <c r="A10" i="45" s="1"/>
  <c r="A11" i="45" s="1"/>
  <c r="A12" i="45" s="1"/>
  <c r="A13" i="45" s="1"/>
  <c r="B13" i="45" s="1"/>
  <c r="L50" i="45"/>
  <c r="M50" i="45"/>
  <c r="AE50" i="45"/>
  <c r="N50" i="45" s="1"/>
  <c r="G51" i="45"/>
  <c r="M51" i="45" s="1"/>
  <c r="L51" i="45"/>
  <c r="AE51" i="45"/>
  <c r="N51" i="45" s="1"/>
  <c r="F52" i="45"/>
  <c r="L52" i="45" s="1"/>
  <c r="G52" i="45"/>
  <c r="M52" i="45" s="1"/>
  <c r="AE52" i="45"/>
  <c r="H52" i="45" s="1"/>
  <c r="O52" i="45"/>
  <c r="AJ52" i="45"/>
  <c r="AJ54" i="45" s="1"/>
  <c r="AK52" i="45"/>
  <c r="AK54" i="45" s="1"/>
  <c r="F53" i="45"/>
  <c r="L53" i="45" s="1"/>
  <c r="H53" i="45"/>
  <c r="I53" i="45"/>
  <c r="J53" i="45"/>
  <c r="K53" i="45"/>
  <c r="N53" i="45"/>
  <c r="O53" i="45"/>
  <c r="AF54" i="45"/>
  <c r="AG54" i="45"/>
  <c r="AH54" i="45"/>
  <c r="AI54" i="45"/>
  <c r="P37" i="45" l="1"/>
  <c r="P40" i="45" s="1"/>
  <c r="P10" i="45"/>
  <c r="P51" i="45"/>
  <c r="P54" i="45" s="1"/>
  <c r="P55" i="45" s="1"/>
  <c r="P56" i="45" s="1"/>
  <c r="P48" i="45"/>
  <c r="P25" i="45"/>
  <c r="P26" i="45" s="1"/>
  <c r="P27" i="45" s="1"/>
  <c r="B12" i="45"/>
  <c r="B11" i="45"/>
  <c r="B10" i="45"/>
  <c r="B9" i="45"/>
  <c r="B8" i="45"/>
  <c r="O51" i="45"/>
  <c r="N52" i="45"/>
  <c r="J52" i="45" s="1"/>
  <c r="O50" i="45"/>
  <c r="G53" i="45"/>
  <c r="M53" i="45" s="1"/>
  <c r="P38" i="45" l="1"/>
  <c r="P39" i="45" s="1"/>
  <c r="P42" i="45"/>
  <c r="P43" i="45" s="1"/>
  <c r="P44" i="45" s="1"/>
  <c r="P5" i="45"/>
  <c r="O42" i="45"/>
  <c r="Q36" i="45"/>
  <c r="Q37" i="45" s="1"/>
  <c r="Q40" i="45" s="1"/>
  <c r="Q23" i="45"/>
  <c r="Q25" i="45" s="1"/>
  <c r="Q26" i="45" s="1"/>
  <c r="G25" i="45"/>
  <c r="H25" i="45"/>
  <c r="I25" i="45"/>
  <c r="J25" i="45"/>
  <c r="K25" i="45"/>
  <c r="F25" i="45"/>
  <c r="F49" i="45"/>
  <c r="F54" i="45" s="1"/>
  <c r="G49" i="45"/>
  <c r="G54" i="45" s="1"/>
  <c r="H49" i="45"/>
  <c r="H54" i="45" s="1"/>
  <c r="I49" i="45"/>
  <c r="I54" i="45" s="1"/>
  <c r="J49" i="45"/>
  <c r="J54" i="45" s="1"/>
  <c r="K49" i="45"/>
  <c r="K54" i="45" s="1"/>
  <c r="L49" i="45"/>
  <c r="L54" i="45" s="1"/>
  <c r="M49" i="45"/>
  <c r="M54" i="45" s="1"/>
  <c r="AE49" i="45"/>
  <c r="AE54" i="45" s="1"/>
  <c r="N49" i="45"/>
  <c r="O49" i="45"/>
  <c r="Q49" i="45"/>
  <c r="Q47" i="45" s="1"/>
  <c r="N10" i="45"/>
  <c r="AE10" i="45"/>
  <c r="M10" i="45"/>
  <c r="L10" i="45"/>
  <c r="Q51" i="45" l="1"/>
  <c r="Q52" i="45"/>
  <c r="L57" i="45"/>
  <c r="Q54" i="45" l="1"/>
  <c r="Q55" i="45" s="1"/>
  <c r="R66" i="11"/>
  <c r="F31" i="45"/>
  <c r="G31" i="45"/>
  <c r="H31" i="45"/>
  <c r="I31" i="45"/>
  <c r="J31" i="45"/>
  <c r="K31" i="45"/>
  <c r="G37" i="45" l="1"/>
  <c r="G40" i="45" s="1"/>
  <c r="H37" i="45"/>
  <c r="H40" i="45" s="1"/>
  <c r="I37" i="45"/>
  <c r="I40" i="45" s="1"/>
  <c r="J37" i="45"/>
  <c r="J40" i="45" s="1"/>
  <c r="K37" i="45"/>
  <c r="K40" i="45" s="1"/>
  <c r="L37" i="45"/>
  <c r="L40" i="45" s="1"/>
  <c r="M37" i="45"/>
  <c r="M40" i="45" s="1"/>
  <c r="F37" i="45"/>
  <c r="M23" i="45" l="1"/>
  <c r="L23" i="45"/>
  <c r="L25" i="45" s="1"/>
  <c r="M20" i="45" l="1"/>
  <c r="M21" i="45" s="1"/>
  <c r="M25" i="45"/>
  <c r="L20" i="45"/>
  <c r="L21" i="45" s="1"/>
  <c r="Q11" i="45"/>
  <c r="Q10" i="45" s="1"/>
  <c r="N31" i="45" l="1"/>
  <c r="Q48" i="45" l="1"/>
  <c r="O63" i="45"/>
  <c r="N63" i="45"/>
  <c r="AE63" i="45"/>
  <c r="AE36" i="45"/>
  <c r="AE37" i="45" s="1"/>
  <c r="AE40" i="45" s="1"/>
  <c r="O31" i="45"/>
  <c r="AE31" i="45"/>
  <c r="O10" i="45"/>
  <c r="Q42" i="45" l="1"/>
  <c r="Q43" i="45" s="1"/>
  <c r="Q38" i="45"/>
  <c r="Q39" i="45" s="1"/>
  <c r="L14" i="45"/>
  <c r="M14" i="45"/>
  <c r="M16" i="45" s="1"/>
  <c r="M18" i="45" s="1"/>
  <c r="O32" i="45"/>
  <c r="L30" i="45" l="1"/>
  <c r="L31" i="45" s="1"/>
  <c r="L16" i="45"/>
  <c r="L18" i="45" s="1"/>
  <c r="M30" i="45"/>
  <c r="M31" i="45" s="1"/>
  <c r="L33" i="45"/>
  <c r="M33" i="45"/>
  <c r="O47" i="45" l="1"/>
  <c r="O54" i="45" s="1"/>
  <c r="N47" i="45"/>
  <c r="N54" i="45" s="1"/>
  <c r="N48" i="45" l="1"/>
  <c r="O48" i="45"/>
  <c r="O20" i="45"/>
  <c r="N20" i="45"/>
  <c r="N36" i="45"/>
  <c r="N37" i="45" s="1"/>
  <c r="N40" i="45" s="1"/>
  <c r="N32" i="45"/>
  <c r="N38" i="45" s="1"/>
  <c r="N39" i="45" s="1"/>
  <c r="AE58" i="45" l="1"/>
  <c r="N21" i="45"/>
  <c r="O21" i="45"/>
  <c r="N58" i="45"/>
  <c r="AE21" i="45"/>
  <c r="O58" i="45"/>
  <c r="O43" i="45" s="1"/>
  <c r="O44" i="45" s="1"/>
  <c r="O36" i="45"/>
  <c r="O37" i="45" s="1"/>
  <c r="O40" i="45" s="1"/>
  <c r="AE32" i="45"/>
  <c r="AE38" i="45" s="1"/>
  <c r="AE39" i="45" s="1"/>
  <c r="O23" i="45" l="1"/>
  <c r="O25" i="45" s="1"/>
  <c r="O22" i="45"/>
  <c r="AE23" i="45"/>
  <c r="AE25" i="45" s="1"/>
  <c r="AE22" i="45"/>
  <c r="N23" i="45"/>
  <c r="N25" i="45" s="1"/>
  <c r="N22" i="45"/>
  <c r="N42" i="45"/>
  <c r="N43" i="45" s="1"/>
  <c r="AE42" i="45"/>
  <c r="AE43" i="45" s="1"/>
  <c r="Q63" i="45" l="1"/>
  <c r="F26" i="45"/>
  <c r="F27" i="45" s="1"/>
  <c r="M63" i="45"/>
  <c r="L63" i="45"/>
  <c r="K63" i="45"/>
  <c r="J63" i="45"/>
  <c r="H63" i="45"/>
  <c r="G63" i="45"/>
  <c r="F63" i="45"/>
  <c r="AK60" i="45"/>
  <c r="K59" i="45"/>
  <c r="J59" i="45"/>
  <c r="I59" i="45"/>
  <c r="H59" i="45"/>
  <c r="G59" i="45"/>
  <c r="F59" i="45"/>
  <c r="O38" i="45"/>
  <c r="AK31" i="45"/>
  <c r="AJ31" i="45"/>
  <c r="AI31" i="45"/>
  <c r="AH31" i="45"/>
  <c r="AG31" i="45"/>
  <c r="AF31" i="45"/>
  <c r="K32" i="45"/>
  <c r="J32" i="45"/>
  <c r="I32" i="45"/>
  <c r="H32" i="45"/>
  <c r="G32" i="45"/>
  <c r="F32" i="45"/>
  <c r="M57" i="45"/>
  <c r="AI55" i="45"/>
  <c r="AI56" i="45" s="1"/>
  <c r="AH55" i="45"/>
  <c r="AH56" i="45" s="1"/>
  <c r="AG55" i="45"/>
  <c r="AG56" i="45" s="1"/>
  <c r="AF55" i="45"/>
  <c r="AF56" i="45" s="1"/>
  <c r="AK55" i="45"/>
  <c r="AK56" i="45" s="1"/>
  <c r="AJ55" i="45"/>
  <c r="AJ56" i="45" s="1"/>
  <c r="AK48" i="45"/>
  <c r="AJ48" i="45"/>
  <c r="AI48" i="45"/>
  <c r="AH48" i="45"/>
  <c r="AG48" i="45"/>
  <c r="AF48" i="45"/>
  <c r="AE48" i="45"/>
  <c r="K48" i="45"/>
  <c r="J48" i="45"/>
  <c r="I48" i="45"/>
  <c r="H48" i="45"/>
  <c r="G48" i="45"/>
  <c r="F48" i="45"/>
  <c r="L48" i="45"/>
  <c r="AE44" i="45"/>
  <c r="N44" i="45"/>
  <c r="K43" i="45"/>
  <c r="K44" i="45" s="1"/>
  <c r="J43" i="45"/>
  <c r="J44" i="45" s="1"/>
  <c r="I43" i="45"/>
  <c r="I44" i="45" s="1"/>
  <c r="H43" i="45"/>
  <c r="H44" i="45" s="1"/>
  <c r="G43" i="45"/>
  <c r="G44" i="45" s="1"/>
  <c r="F43" i="45"/>
  <c r="F44" i="45" s="1"/>
  <c r="AK42" i="45"/>
  <c r="AK43" i="45" s="1"/>
  <c r="AK44" i="45" s="1"/>
  <c r="AJ42" i="45"/>
  <c r="AJ43" i="45" s="1"/>
  <c r="AJ44" i="45" s="1"/>
  <c r="AI42" i="45"/>
  <c r="AI43" i="45" s="1"/>
  <c r="AI44" i="45" s="1"/>
  <c r="AH42" i="45"/>
  <c r="AH43" i="45" s="1"/>
  <c r="AH44" i="45" s="1"/>
  <c r="AG42" i="45"/>
  <c r="AG43" i="45" s="1"/>
  <c r="AG44" i="45" s="1"/>
  <c r="AF42" i="45"/>
  <c r="AF43" i="45" s="1"/>
  <c r="AF44" i="45" s="1"/>
  <c r="M42" i="45"/>
  <c r="M43" i="45" s="1"/>
  <c r="M44" i="45" s="1"/>
  <c r="L42" i="45"/>
  <c r="L43" i="45" s="1"/>
  <c r="L44" i="45" s="1"/>
  <c r="I38" i="45"/>
  <c r="H38" i="45"/>
  <c r="G38" i="45"/>
  <c r="F38" i="45"/>
  <c r="AK37" i="45"/>
  <c r="AJ37" i="45"/>
  <c r="AI37" i="45"/>
  <c r="AH37" i="45"/>
  <c r="AG37" i="45"/>
  <c r="AF37" i="45"/>
  <c r="K38" i="45"/>
  <c r="J38" i="45"/>
  <c r="AI26" i="45"/>
  <c r="AI27" i="45" s="1"/>
  <c r="AH26" i="45"/>
  <c r="AH27" i="45" s="1"/>
  <c r="AG26" i="45"/>
  <c r="AG27" i="45" s="1"/>
  <c r="AF26" i="45"/>
  <c r="AF27" i="45" s="1"/>
  <c r="K26" i="45"/>
  <c r="K27" i="45" s="1"/>
  <c r="J26" i="45"/>
  <c r="J27" i="45" s="1"/>
  <c r="I26" i="45"/>
  <c r="I27" i="45" s="1"/>
  <c r="H26" i="45"/>
  <c r="H27" i="45" s="1"/>
  <c r="G26" i="45"/>
  <c r="G27" i="45" s="1"/>
  <c r="M59" i="45"/>
  <c r="L59" i="45"/>
  <c r="K21" i="45"/>
  <c r="K22" i="45" s="1"/>
  <c r="J21" i="45"/>
  <c r="J22" i="45" s="1"/>
  <c r="I21" i="45"/>
  <c r="I22" i="45" s="1"/>
  <c r="H21" i="45"/>
  <c r="H22" i="45" s="1"/>
  <c r="G21" i="45"/>
  <c r="G22" i="45" s="1"/>
  <c r="F21" i="45"/>
  <c r="F22" i="45" s="1"/>
  <c r="AK38" i="45" l="1"/>
  <c r="AK39" i="45" s="1"/>
  <c r="AK40" i="45"/>
  <c r="AF38" i="45"/>
  <c r="AF40" i="45"/>
  <c r="AG38" i="45"/>
  <c r="AG39" i="45" s="1"/>
  <c r="AG5" i="45" s="1"/>
  <c r="AG40" i="45"/>
  <c r="AH38" i="45"/>
  <c r="AH39" i="45" s="1"/>
  <c r="AH5" i="45" s="1"/>
  <c r="AH40" i="45"/>
  <c r="I5" i="45"/>
  <c r="AI38" i="45"/>
  <c r="AI39" i="45" s="1"/>
  <c r="AI5" i="45" s="1"/>
  <c r="AI40" i="45"/>
  <c r="AJ38" i="45"/>
  <c r="AJ39" i="45" s="1"/>
  <c r="AJ40" i="45"/>
  <c r="O39" i="45"/>
  <c r="M32" i="45"/>
  <c r="K39" i="45"/>
  <c r="K5" i="45" s="1"/>
  <c r="F39" i="45"/>
  <c r="F5" i="45" s="1"/>
  <c r="L32" i="45"/>
  <c r="G39" i="45"/>
  <c r="G5" i="45" s="1"/>
  <c r="J39" i="45"/>
  <c r="J5" i="45" s="1"/>
  <c r="AF39" i="45"/>
  <c r="AF5" i="45" s="1"/>
  <c r="H39" i="45"/>
  <c r="H5" i="45" s="1"/>
  <c r="I39" i="45"/>
  <c r="AK21" i="45"/>
  <c r="AK23" i="45" s="1"/>
  <c r="AK26" i="45" s="1"/>
  <c r="AK27" i="45" s="1"/>
  <c r="L26" i="45"/>
  <c r="L27" i="45" s="1"/>
  <c r="Q44" i="45"/>
  <c r="AJ21" i="45"/>
  <c r="AJ23" i="45" s="1"/>
  <c r="AJ26" i="45" s="1"/>
  <c r="AJ27" i="45" s="1"/>
  <c r="M48" i="45"/>
  <c r="M26" i="45"/>
  <c r="M27" i="45" s="1"/>
  <c r="AJ5" i="45" l="1"/>
  <c r="AK5" i="45"/>
  <c r="M38" i="45"/>
  <c r="M39" i="45" s="1"/>
  <c r="M5" i="45" s="1"/>
  <c r="L38" i="45"/>
  <c r="L39" i="45" l="1"/>
  <c r="L5" i="45" s="1"/>
  <c r="F508" i="36" l="1"/>
  <c r="J89" i="14" l="1"/>
  <c r="K89" i="14"/>
  <c r="L89" i="14"/>
  <c r="M89" i="14"/>
  <c r="N89" i="14"/>
  <c r="O89" i="14"/>
  <c r="P89" i="14"/>
  <c r="Q89" i="14"/>
  <c r="R89" i="14"/>
  <c r="I89" i="14"/>
  <c r="P90" i="14"/>
  <c r="J99" i="14"/>
  <c r="K99" i="14"/>
  <c r="L99" i="14"/>
  <c r="M99" i="14"/>
  <c r="N99" i="14"/>
  <c r="O99" i="14"/>
  <c r="P99" i="14"/>
  <c r="Q99" i="14"/>
  <c r="R99" i="14"/>
  <c r="S99" i="14"/>
  <c r="I99" i="14"/>
  <c r="D99" i="14"/>
  <c r="J98" i="14"/>
  <c r="K98" i="14"/>
  <c r="L98" i="14"/>
  <c r="M98" i="14"/>
  <c r="N98" i="14"/>
  <c r="O98" i="14"/>
  <c r="P98" i="14"/>
  <c r="Q98" i="14"/>
  <c r="R98" i="14"/>
  <c r="S98" i="14"/>
  <c r="I98" i="14"/>
  <c r="P97" i="14"/>
  <c r="I97" i="14"/>
  <c r="J97" i="14"/>
  <c r="K97" i="14"/>
  <c r="L97" i="14"/>
  <c r="M97" i="14"/>
  <c r="D98" i="14" l="1"/>
  <c r="D89" i="14"/>
  <c r="M20" i="14"/>
  <c r="S34" i="14"/>
  <c r="S33" i="14"/>
  <c r="S36" i="14"/>
  <c r="S20" i="45" l="1"/>
  <c r="S109" i="14"/>
  <c r="S108" i="14"/>
  <c r="S107" i="14"/>
  <c r="S106" i="14"/>
  <c r="S100" i="14"/>
  <c r="S97" i="14"/>
  <c r="S95" i="14"/>
  <c r="S94" i="14"/>
  <c r="S92" i="14"/>
  <c r="S93" i="14" s="1"/>
  <c r="S87" i="14"/>
  <c r="S86" i="14"/>
  <c r="S85" i="14"/>
  <c r="S83" i="14"/>
  <c r="S82" i="14"/>
  <c r="S74" i="14"/>
  <c r="S73" i="14"/>
  <c r="S72" i="14"/>
  <c r="S71" i="14"/>
  <c r="S70" i="14"/>
  <c r="S69" i="14"/>
  <c r="S66" i="14"/>
  <c r="D68" i="14" s="1"/>
  <c r="S64" i="14"/>
  <c r="S63" i="14"/>
  <c r="S62" i="14"/>
  <c r="S61" i="14"/>
  <c r="S59" i="14"/>
  <c r="S58" i="14"/>
  <c r="S57" i="14"/>
  <c r="S56" i="14"/>
  <c r="S55" i="14"/>
  <c r="S54" i="14"/>
  <c r="S53" i="14"/>
  <c r="S49" i="14"/>
  <c r="S48" i="14"/>
  <c r="S47" i="14"/>
  <c r="S46" i="14"/>
  <c r="S45" i="14"/>
  <c r="S44" i="14"/>
  <c r="S43" i="14"/>
  <c r="S42" i="14"/>
  <c r="S29" i="14"/>
  <c r="S28" i="14"/>
  <c r="S25" i="14"/>
  <c r="S21" i="14"/>
  <c r="S20" i="14"/>
  <c r="S19" i="14"/>
  <c r="S23" i="14" l="1"/>
  <c r="S26" i="14" s="1"/>
  <c r="S27" i="14" s="1"/>
  <c r="I107" i="14"/>
  <c r="J107" i="14"/>
  <c r="K107" i="14"/>
  <c r="L107" i="14"/>
  <c r="M107" i="14"/>
  <c r="N107" i="14"/>
  <c r="O107" i="14"/>
  <c r="P107" i="14"/>
  <c r="Q107" i="14"/>
  <c r="R107" i="14"/>
  <c r="I108" i="14"/>
  <c r="J108" i="14"/>
  <c r="K108" i="14"/>
  <c r="L108" i="14"/>
  <c r="M108" i="14"/>
  <c r="N108" i="14"/>
  <c r="O108" i="14"/>
  <c r="P108" i="14"/>
  <c r="Q108" i="14"/>
  <c r="R108" i="14"/>
  <c r="I109" i="14"/>
  <c r="J109" i="14"/>
  <c r="K109" i="14"/>
  <c r="L109" i="14"/>
  <c r="M109" i="14"/>
  <c r="N109" i="14"/>
  <c r="O109" i="14"/>
  <c r="P109" i="14"/>
  <c r="Q109" i="14"/>
  <c r="R109" i="14"/>
  <c r="I106" i="14"/>
  <c r="J106" i="14"/>
  <c r="K106" i="14"/>
  <c r="L106" i="14"/>
  <c r="M106" i="14"/>
  <c r="N106" i="14"/>
  <c r="O106" i="14"/>
  <c r="P106" i="14"/>
  <c r="Q106" i="14"/>
  <c r="R106" i="14"/>
  <c r="I105" i="14"/>
  <c r="J105" i="14"/>
  <c r="I104" i="14"/>
  <c r="J104" i="14"/>
  <c r="I95" i="14"/>
  <c r="J95" i="14"/>
  <c r="K95" i="14"/>
  <c r="L95" i="14"/>
  <c r="M95" i="14"/>
  <c r="N95" i="14"/>
  <c r="O95" i="14"/>
  <c r="P95" i="14"/>
  <c r="Q95" i="14"/>
  <c r="R95" i="14"/>
  <c r="I96" i="14"/>
  <c r="J96" i="14"/>
  <c r="K96" i="14"/>
  <c r="L96" i="14"/>
  <c r="M96" i="14"/>
  <c r="N96" i="14"/>
  <c r="O96" i="14"/>
  <c r="P96" i="14"/>
  <c r="Q96" i="14"/>
  <c r="R96" i="14"/>
  <c r="N97" i="14"/>
  <c r="O97" i="14"/>
  <c r="Q97" i="14"/>
  <c r="R97" i="14"/>
  <c r="I100" i="14"/>
  <c r="J100" i="14"/>
  <c r="K100" i="14"/>
  <c r="L100" i="14"/>
  <c r="M100" i="14"/>
  <c r="N100" i="14"/>
  <c r="O100" i="14"/>
  <c r="P100" i="14"/>
  <c r="Q100" i="14"/>
  <c r="R100" i="14"/>
  <c r="I94" i="14"/>
  <c r="J94" i="14"/>
  <c r="K94" i="14"/>
  <c r="L94" i="14"/>
  <c r="M94" i="14"/>
  <c r="N94" i="14"/>
  <c r="O94" i="14"/>
  <c r="P94" i="14"/>
  <c r="Q94" i="14"/>
  <c r="R94" i="14"/>
  <c r="I86" i="14"/>
  <c r="J86" i="14"/>
  <c r="K86" i="14"/>
  <c r="L86" i="14"/>
  <c r="M86" i="14"/>
  <c r="N86" i="14"/>
  <c r="O86" i="14"/>
  <c r="P86" i="14"/>
  <c r="Q86" i="14"/>
  <c r="R86" i="14"/>
  <c r="I87" i="14"/>
  <c r="J87" i="14"/>
  <c r="K87" i="14"/>
  <c r="L87" i="14"/>
  <c r="M87" i="14"/>
  <c r="N87" i="14"/>
  <c r="O87" i="14"/>
  <c r="P87" i="14"/>
  <c r="Q87" i="14"/>
  <c r="R87" i="14"/>
  <c r="I88" i="14"/>
  <c r="J88" i="14"/>
  <c r="K88" i="14"/>
  <c r="L88" i="14"/>
  <c r="M88" i="14"/>
  <c r="N88" i="14"/>
  <c r="O88" i="14"/>
  <c r="P88" i="14"/>
  <c r="Q88" i="14"/>
  <c r="R88" i="14"/>
  <c r="I92" i="14"/>
  <c r="J92" i="14"/>
  <c r="K92" i="14"/>
  <c r="L92" i="14"/>
  <c r="M92" i="14"/>
  <c r="N92" i="14"/>
  <c r="O92" i="14"/>
  <c r="P92" i="14"/>
  <c r="Q92" i="14"/>
  <c r="R92" i="14"/>
  <c r="I85" i="14"/>
  <c r="J85" i="14"/>
  <c r="K85" i="14"/>
  <c r="L85" i="14"/>
  <c r="M85" i="14"/>
  <c r="N85" i="14"/>
  <c r="O85" i="14"/>
  <c r="P85" i="14"/>
  <c r="Q85" i="14"/>
  <c r="R85" i="14"/>
  <c r="I82" i="14"/>
  <c r="J82" i="14"/>
  <c r="K82" i="14"/>
  <c r="L82" i="14"/>
  <c r="M82" i="14"/>
  <c r="N82" i="14"/>
  <c r="O82" i="14"/>
  <c r="P82" i="14"/>
  <c r="Q82" i="14"/>
  <c r="R82" i="14"/>
  <c r="I83" i="14"/>
  <c r="J83" i="14"/>
  <c r="K83" i="14"/>
  <c r="L83" i="14"/>
  <c r="M83" i="14"/>
  <c r="N83" i="14"/>
  <c r="O83" i="14"/>
  <c r="P83" i="14"/>
  <c r="Q83" i="14"/>
  <c r="R83" i="14"/>
  <c r="H70" i="14"/>
  <c r="I70" i="14"/>
  <c r="J70" i="14"/>
  <c r="K70" i="14"/>
  <c r="L70" i="14"/>
  <c r="M70" i="14"/>
  <c r="N70" i="14"/>
  <c r="O70" i="14"/>
  <c r="P70" i="14"/>
  <c r="Q70" i="14"/>
  <c r="R70" i="14"/>
  <c r="H71" i="14"/>
  <c r="I71" i="14"/>
  <c r="J71" i="14"/>
  <c r="K71" i="14"/>
  <c r="L71" i="14"/>
  <c r="M71" i="14"/>
  <c r="N71" i="14"/>
  <c r="O71" i="14"/>
  <c r="P71" i="14"/>
  <c r="Q71" i="14"/>
  <c r="R71" i="14"/>
  <c r="I72" i="14"/>
  <c r="J72" i="14"/>
  <c r="K72" i="14"/>
  <c r="L72" i="14"/>
  <c r="M72" i="14"/>
  <c r="N72" i="14"/>
  <c r="O72" i="14"/>
  <c r="P72" i="14"/>
  <c r="Q72" i="14"/>
  <c r="R72" i="14"/>
  <c r="I73" i="14"/>
  <c r="J73" i="14"/>
  <c r="K73" i="14"/>
  <c r="L73" i="14"/>
  <c r="M73" i="14"/>
  <c r="N73" i="14"/>
  <c r="O73" i="14"/>
  <c r="P73" i="14"/>
  <c r="Q73" i="14"/>
  <c r="R73" i="14"/>
  <c r="K74" i="14"/>
  <c r="L74" i="14"/>
  <c r="M74" i="14"/>
  <c r="N74" i="14"/>
  <c r="O74" i="14"/>
  <c r="P74" i="14"/>
  <c r="Q74" i="14"/>
  <c r="R74" i="14"/>
  <c r="I69" i="14"/>
  <c r="J69" i="14"/>
  <c r="K69" i="14"/>
  <c r="L69" i="14"/>
  <c r="M69" i="14"/>
  <c r="N69" i="14"/>
  <c r="O69" i="14"/>
  <c r="P69" i="14"/>
  <c r="Q69" i="14"/>
  <c r="R69" i="14"/>
  <c r="H69" i="14"/>
  <c r="I54" i="14"/>
  <c r="J54" i="14"/>
  <c r="K54" i="14"/>
  <c r="L54" i="14"/>
  <c r="M54" i="14"/>
  <c r="N54" i="14"/>
  <c r="O54" i="14"/>
  <c r="P54" i="14"/>
  <c r="Q54" i="14"/>
  <c r="R54" i="14"/>
  <c r="I55" i="14"/>
  <c r="J55" i="14"/>
  <c r="K55" i="14"/>
  <c r="L55" i="14"/>
  <c r="M55" i="14"/>
  <c r="N55" i="14"/>
  <c r="O55" i="14"/>
  <c r="P55" i="14"/>
  <c r="Q55" i="14"/>
  <c r="R55" i="14"/>
  <c r="I56" i="14"/>
  <c r="J56" i="14"/>
  <c r="K56" i="14"/>
  <c r="L56" i="14"/>
  <c r="M56" i="14"/>
  <c r="N56" i="14"/>
  <c r="O56" i="14"/>
  <c r="P56" i="14"/>
  <c r="Q56" i="14"/>
  <c r="R56" i="14"/>
  <c r="I57" i="14"/>
  <c r="J57" i="14"/>
  <c r="K57" i="14"/>
  <c r="L57" i="14"/>
  <c r="M57" i="14"/>
  <c r="N57" i="14"/>
  <c r="O57" i="14"/>
  <c r="P57" i="14"/>
  <c r="Q57" i="14"/>
  <c r="R57" i="14"/>
  <c r="I58" i="14"/>
  <c r="J58" i="14"/>
  <c r="K58" i="14"/>
  <c r="L58" i="14"/>
  <c r="M58" i="14"/>
  <c r="N58" i="14"/>
  <c r="O58" i="14"/>
  <c r="P58" i="14"/>
  <c r="Q58" i="14"/>
  <c r="R58" i="14"/>
  <c r="I59" i="14"/>
  <c r="J59" i="14"/>
  <c r="K59" i="14"/>
  <c r="L59" i="14"/>
  <c r="M59" i="14"/>
  <c r="N59" i="14"/>
  <c r="O59" i="14"/>
  <c r="P59" i="14"/>
  <c r="Q59" i="14"/>
  <c r="R59" i="14"/>
  <c r="I60" i="14"/>
  <c r="J60" i="14"/>
  <c r="K60" i="14"/>
  <c r="L60" i="14"/>
  <c r="M60" i="14"/>
  <c r="N60" i="14"/>
  <c r="O60" i="14"/>
  <c r="P60" i="14"/>
  <c r="Q60" i="14"/>
  <c r="R60" i="14"/>
  <c r="I61" i="14"/>
  <c r="J61" i="14"/>
  <c r="K61" i="14"/>
  <c r="L61" i="14"/>
  <c r="M61" i="14"/>
  <c r="N61" i="14"/>
  <c r="O61" i="14"/>
  <c r="P61" i="14"/>
  <c r="Q61" i="14"/>
  <c r="R61" i="14"/>
  <c r="I90" i="14"/>
  <c r="J90" i="14"/>
  <c r="K90" i="14"/>
  <c r="L90" i="14"/>
  <c r="M90" i="14"/>
  <c r="N90" i="14"/>
  <c r="O90" i="14"/>
  <c r="Q90" i="14"/>
  <c r="R90" i="14"/>
  <c r="I62" i="14"/>
  <c r="J62" i="14"/>
  <c r="K62" i="14"/>
  <c r="L62" i="14"/>
  <c r="M62" i="14"/>
  <c r="N62" i="14"/>
  <c r="O62" i="14"/>
  <c r="P62" i="14"/>
  <c r="Q62" i="14"/>
  <c r="R62" i="14"/>
  <c r="I63" i="14"/>
  <c r="J63" i="14"/>
  <c r="K63" i="14"/>
  <c r="L63" i="14"/>
  <c r="M63" i="14"/>
  <c r="N63" i="14"/>
  <c r="O63" i="14"/>
  <c r="P63" i="14"/>
  <c r="Q63" i="14"/>
  <c r="R63" i="14"/>
  <c r="I64" i="14"/>
  <c r="J64" i="14"/>
  <c r="K64" i="14"/>
  <c r="L64" i="14"/>
  <c r="M64" i="14"/>
  <c r="N64" i="14"/>
  <c r="O64" i="14"/>
  <c r="P64" i="14"/>
  <c r="Q64" i="14"/>
  <c r="R64" i="14"/>
  <c r="H65" i="14"/>
  <c r="I65" i="14"/>
  <c r="J65" i="14"/>
  <c r="K65" i="14"/>
  <c r="L65" i="14"/>
  <c r="M65" i="14"/>
  <c r="N65" i="14"/>
  <c r="O65" i="14"/>
  <c r="P65" i="14"/>
  <c r="Q65" i="14"/>
  <c r="R65" i="14"/>
  <c r="H66" i="14"/>
  <c r="I66" i="14"/>
  <c r="J66" i="14"/>
  <c r="K66" i="14"/>
  <c r="L66" i="14"/>
  <c r="M66" i="14"/>
  <c r="N66" i="14"/>
  <c r="O66" i="14"/>
  <c r="P66" i="14"/>
  <c r="Q66" i="14"/>
  <c r="R66" i="14"/>
  <c r="H67" i="14"/>
  <c r="I67" i="14"/>
  <c r="J67" i="14"/>
  <c r="K67" i="14"/>
  <c r="D67" i="14" s="1"/>
  <c r="L67" i="14"/>
  <c r="M67" i="14"/>
  <c r="N67" i="14"/>
  <c r="O67" i="14"/>
  <c r="P67" i="14"/>
  <c r="Q67" i="14"/>
  <c r="R67" i="14"/>
  <c r="I53" i="14"/>
  <c r="J53" i="14"/>
  <c r="K53" i="14"/>
  <c r="L53" i="14"/>
  <c r="M53" i="14"/>
  <c r="N53" i="14"/>
  <c r="O53" i="14"/>
  <c r="P53" i="14"/>
  <c r="Q53" i="14"/>
  <c r="R53" i="14"/>
  <c r="I43" i="14"/>
  <c r="J43" i="14"/>
  <c r="K43" i="14"/>
  <c r="L43" i="14"/>
  <c r="M43" i="14"/>
  <c r="N43" i="14"/>
  <c r="O43" i="14"/>
  <c r="P43" i="14"/>
  <c r="Q43" i="14"/>
  <c r="R43" i="14"/>
  <c r="I44" i="14"/>
  <c r="J44" i="14"/>
  <c r="K44" i="14"/>
  <c r="L44" i="14"/>
  <c r="M44" i="14"/>
  <c r="N44" i="14"/>
  <c r="O44" i="14"/>
  <c r="P44" i="14"/>
  <c r="Q44" i="14"/>
  <c r="R44" i="14"/>
  <c r="I45" i="14"/>
  <c r="J45" i="14"/>
  <c r="K45" i="14"/>
  <c r="L45" i="14"/>
  <c r="M45" i="14"/>
  <c r="N45" i="14"/>
  <c r="O45" i="14"/>
  <c r="P45" i="14"/>
  <c r="Q45" i="14"/>
  <c r="R45" i="14"/>
  <c r="I46" i="14"/>
  <c r="J46" i="14"/>
  <c r="K46" i="14"/>
  <c r="L46" i="14"/>
  <c r="M46" i="14"/>
  <c r="N46" i="14"/>
  <c r="O46" i="14"/>
  <c r="P46" i="14"/>
  <c r="Q46" i="14"/>
  <c r="R46" i="14"/>
  <c r="I47" i="14"/>
  <c r="J47" i="14"/>
  <c r="K47" i="14"/>
  <c r="L47" i="14"/>
  <c r="M47" i="14"/>
  <c r="N47" i="14"/>
  <c r="O47" i="14"/>
  <c r="P47" i="14"/>
  <c r="Q47" i="14"/>
  <c r="R47" i="14"/>
  <c r="I48" i="14"/>
  <c r="J48" i="14"/>
  <c r="K48" i="14"/>
  <c r="L48" i="14"/>
  <c r="M48" i="14"/>
  <c r="N48" i="14"/>
  <c r="O48" i="14"/>
  <c r="P48" i="14"/>
  <c r="Q48" i="14"/>
  <c r="R48" i="14"/>
  <c r="I49" i="14"/>
  <c r="J49" i="14"/>
  <c r="K49" i="14"/>
  <c r="L49" i="14"/>
  <c r="M49" i="14"/>
  <c r="N49" i="14"/>
  <c r="O49" i="14"/>
  <c r="P49" i="14"/>
  <c r="Q49" i="14"/>
  <c r="R49" i="14"/>
  <c r="I42" i="14"/>
  <c r="J42" i="14"/>
  <c r="K42" i="14"/>
  <c r="L42" i="14"/>
  <c r="M42" i="14"/>
  <c r="N42" i="14"/>
  <c r="O42" i="14"/>
  <c r="P42" i="14"/>
  <c r="Q42" i="14"/>
  <c r="R42" i="14"/>
  <c r="I36" i="14"/>
  <c r="J36" i="14"/>
  <c r="K36" i="14"/>
  <c r="L36" i="14"/>
  <c r="M36" i="14"/>
  <c r="N36" i="14"/>
  <c r="O36" i="14"/>
  <c r="P36" i="14"/>
  <c r="Q36" i="14"/>
  <c r="R36" i="14"/>
  <c r="I34" i="14"/>
  <c r="J34" i="14"/>
  <c r="K34" i="14"/>
  <c r="L34" i="14"/>
  <c r="M34" i="14"/>
  <c r="N34" i="14"/>
  <c r="O34" i="14"/>
  <c r="P34" i="14"/>
  <c r="Q34" i="14"/>
  <c r="R34" i="14"/>
  <c r="I33" i="14"/>
  <c r="J33" i="14"/>
  <c r="K33" i="14"/>
  <c r="L33" i="14"/>
  <c r="M33" i="14"/>
  <c r="N33" i="14"/>
  <c r="O33" i="14"/>
  <c r="P33" i="14"/>
  <c r="Q33" i="14"/>
  <c r="R33" i="14"/>
  <c r="I29" i="14"/>
  <c r="J29" i="14"/>
  <c r="K29" i="14"/>
  <c r="L29" i="14"/>
  <c r="M29" i="14"/>
  <c r="N29" i="14"/>
  <c r="O29" i="14"/>
  <c r="P29" i="14"/>
  <c r="Q29" i="14"/>
  <c r="R29" i="14"/>
  <c r="I28" i="14"/>
  <c r="J28" i="14"/>
  <c r="K28" i="14"/>
  <c r="L28" i="14"/>
  <c r="M28" i="14"/>
  <c r="N28" i="14"/>
  <c r="O28" i="14"/>
  <c r="P28" i="14"/>
  <c r="Q28" i="14"/>
  <c r="R28" i="14"/>
  <c r="I25" i="14"/>
  <c r="J25" i="14"/>
  <c r="K25" i="14"/>
  <c r="L25" i="14"/>
  <c r="M25" i="14"/>
  <c r="N25" i="14"/>
  <c r="O25" i="14"/>
  <c r="P25" i="14"/>
  <c r="Q25" i="14"/>
  <c r="R25" i="14"/>
  <c r="I24" i="14"/>
  <c r="J24" i="14"/>
  <c r="K24" i="14"/>
  <c r="L24" i="14"/>
  <c r="R24" i="14"/>
  <c r="H19" i="14"/>
  <c r="I19" i="14"/>
  <c r="J19" i="14"/>
  <c r="K19" i="14"/>
  <c r="L19" i="14"/>
  <c r="M19" i="14"/>
  <c r="N19" i="14"/>
  <c r="O19" i="14"/>
  <c r="P19" i="14"/>
  <c r="Q19" i="14"/>
  <c r="R19" i="14"/>
  <c r="I20" i="14"/>
  <c r="J20" i="14"/>
  <c r="K20" i="14"/>
  <c r="L20" i="14"/>
  <c r="N20" i="14"/>
  <c r="O20" i="14"/>
  <c r="P20" i="14"/>
  <c r="Q20" i="14"/>
  <c r="R20" i="14"/>
  <c r="I21" i="14"/>
  <c r="J21" i="14"/>
  <c r="K21" i="14"/>
  <c r="L21" i="14"/>
  <c r="M21" i="14"/>
  <c r="N21" i="14"/>
  <c r="O21" i="14"/>
  <c r="P21" i="14"/>
  <c r="Q21" i="14"/>
  <c r="R21" i="14"/>
  <c r="I22" i="14"/>
  <c r="K22" i="14"/>
  <c r="L22" i="14"/>
  <c r="M22" i="14"/>
  <c r="O508" i="36"/>
  <c r="N508" i="36"/>
  <c r="M508" i="36"/>
  <c r="L508" i="36"/>
  <c r="K508" i="36"/>
  <c r="J508" i="36"/>
  <c r="I508" i="36"/>
  <c r="H508" i="36"/>
  <c r="G508" i="36"/>
  <c r="O474" i="36"/>
  <c r="R22" i="14" s="1"/>
  <c r="G474" i="36"/>
  <c r="J22" i="14" s="1"/>
  <c r="J8" i="14"/>
  <c r="I8" i="14"/>
  <c r="X182" i="11" l="1"/>
  <c r="X181" i="11"/>
  <c r="X177" i="11"/>
  <c r="X175" i="11"/>
  <c r="X173" i="11"/>
  <c r="V182" i="11"/>
  <c r="V181" i="11"/>
  <c r="Q178" i="11"/>
  <c r="Q177" i="11"/>
  <c r="Q176" i="11"/>
  <c r="Q175" i="11"/>
  <c r="Q174" i="11"/>
  <c r="Q173" i="11"/>
  <c r="Q171" i="11"/>
  <c r="P177" i="11"/>
  <c r="P176" i="11"/>
  <c r="P172" i="11"/>
  <c r="P171" i="11"/>
  <c r="M178" i="11"/>
  <c r="M177" i="11"/>
  <c r="M176" i="11"/>
  <c r="M175" i="11"/>
  <c r="M174" i="11"/>
  <c r="M173" i="11"/>
  <c r="M172" i="11"/>
  <c r="M171" i="11"/>
  <c r="C455" i="36"/>
  <c r="U181" i="11" s="1"/>
  <c r="C398" i="36"/>
  <c r="Q172" i="11" s="1"/>
  <c r="X162" i="11"/>
  <c r="X161" i="11"/>
  <c r="X158" i="11"/>
  <c r="X157" i="11"/>
  <c r="X156" i="11"/>
  <c r="X155" i="11"/>
  <c r="X152" i="11"/>
  <c r="X151" i="11"/>
  <c r="C382" i="36"/>
  <c r="P162" i="11" s="1"/>
  <c r="C375" i="36"/>
  <c r="P161" i="11" s="1"/>
  <c r="C368" i="36"/>
  <c r="P158" i="11" s="1"/>
  <c r="C361" i="36"/>
  <c r="P157" i="11" s="1"/>
  <c r="C354" i="36"/>
  <c r="P156" i="11" s="1"/>
  <c r="C347" i="36"/>
  <c r="P155" i="11" s="1"/>
  <c r="C340" i="36"/>
  <c r="P152" i="11" s="1"/>
  <c r="C333" i="36"/>
  <c r="P151" i="11" s="1"/>
  <c r="J162" i="11"/>
  <c r="J161" i="11"/>
  <c r="J158" i="11"/>
  <c r="J157" i="11"/>
  <c r="J156" i="11"/>
  <c r="J155" i="11"/>
  <c r="J152" i="11"/>
  <c r="J151" i="11"/>
  <c r="H162" i="11"/>
  <c r="H161" i="11"/>
  <c r="H158" i="11"/>
  <c r="H157" i="11"/>
  <c r="H156" i="11"/>
  <c r="H155" i="11"/>
  <c r="H152" i="11"/>
  <c r="H151" i="11"/>
  <c r="F161" i="11"/>
  <c r="F155" i="11"/>
  <c r="F152" i="11"/>
  <c r="F151" i="11"/>
  <c r="X148" i="11"/>
  <c r="X147" i="11"/>
  <c r="X146" i="11"/>
  <c r="X145" i="11"/>
  <c r="R146" i="11"/>
  <c r="J148" i="11"/>
  <c r="J147" i="11"/>
  <c r="J146" i="11"/>
  <c r="J145" i="11"/>
  <c r="H148" i="11"/>
  <c r="H147" i="11"/>
  <c r="H146" i="11"/>
  <c r="H145" i="11"/>
  <c r="C326" i="36"/>
  <c r="P148" i="11" s="1"/>
  <c r="C305" i="36"/>
  <c r="P145" i="11" s="1"/>
  <c r="X109" i="11" l="1"/>
  <c r="X108" i="11"/>
  <c r="X107" i="11"/>
  <c r="X105" i="11"/>
  <c r="V109" i="11"/>
  <c r="V108" i="11"/>
  <c r="V107" i="11"/>
  <c r="V106" i="11"/>
  <c r="V105" i="11"/>
  <c r="X110" i="11"/>
  <c r="V110" i="11"/>
  <c r="T110" i="11"/>
  <c r="Q109" i="11"/>
  <c r="Q108" i="11"/>
  <c r="P109" i="11"/>
  <c r="P108" i="11"/>
  <c r="P107" i="11"/>
  <c r="P105" i="11"/>
  <c r="M109" i="11"/>
  <c r="M108" i="11"/>
  <c r="M107" i="11"/>
  <c r="M105" i="11"/>
  <c r="M111" i="11"/>
  <c r="P111" i="11"/>
  <c r="Q111" i="11"/>
  <c r="V111" i="11"/>
  <c r="X111" i="11"/>
  <c r="M112" i="11"/>
  <c r="P112" i="11"/>
  <c r="V112" i="11"/>
  <c r="X112" i="11"/>
  <c r="M113" i="11"/>
  <c r="P113" i="11"/>
  <c r="V113" i="11"/>
  <c r="X113" i="11"/>
  <c r="M114" i="11"/>
  <c r="P114" i="11"/>
  <c r="V114" i="11"/>
  <c r="X114" i="11"/>
  <c r="E113" i="11"/>
  <c r="H113" i="11"/>
  <c r="I113" i="11"/>
  <c r="E114" i="11"/>
  <c r="H114" i="11"/>
  <c r="I114" i="11"/>
  <c r="E117" i="11"/>
  <c r="H117" i="11"/>
  <c r="I117" i="11"/>
  <c r="M117" i="11"/>
  <c r="P117" i="11"/>
  <c r="V117" i="11"/>
  <c r="X117" i="11"/>
  <c r="C235" i="36"/>
  <c r="Q107" i="11" s="1"/>
  <c r="C226" i="36"/>
  <c r="Q105" i="11" s="1"/>
  <c r="M93" i="11" l="1"/>
  <c r="M92" i="11"/>
  <c r="M91" i="11"/>
  <c r="I93" i="11"/>
  <c r="I92" i="11"/>
  <c r="I91" i="11"/>
  <c r="E93" i="11"/>
  <c r="E92" i="11"/>
  <c r="E91" i="11"/>
  <c r="X87" i="11"/>
  <c r="X86" i="11"/>
  <c r="T86" i="11"/>
  <c r="Q87" i="11"/>
  <c r="Q85" i="11"/>
  <c r="Q84" i="11"/>
  <c r="Q83" i="11"/>
  <c r="C177" i="36"/>
  <c r="Q82" i="11" s="1"/>
  <c r="C172" i="36"/>
  <c r="Q81" i="11" s="1"/>
  <c r="C168" i="36"/>
  <c r="Q80" i="11" s="1"/>
  <c r="C163" i="36"/>
  <c r="Q79" i="11" s="1"/>
  <c r="P84" i="11"/>
  <c r="P83" i="11"/>
  <c r="P82" i="11"/>
  <c r="P80" i="11"/>
  <c r="P79" i="11"/>
  <c r="M88" i="11"/>
  <c r="M87" i="11"/>
  <c r="M85" i="11"/>
  <c r="M84" i="11"/>
  <c r="M83" i="11"/>
  <c r="M82" i="11"/>
  <c r="M81" i="11"/>
  <c r="M80" i="11"/>
  <c r="M79" i="11"/>
  <c r="X68" i="11"/>
  <c r="X67" i="11"/>
  <c r="T67" i="11"/>
  <c r="X63" i="11"/>
  <c r="Q55" i="11"/>
  <c r="Q54" i="11"/>
  <c r="B55" i="11"/>
  <c r="B54" i="11"/>
  <c r="X51" i="11"/>
  <c r="X48" i="11"/>
  <c r="T48" i="11"/>
  <c r="Q51" i="11"/>
  <c r="Q50" i="11"/>
  <c r="Q49" i="11"/>
  <c r="B51" i="11"/>
  <c r="B50" i="11"/>
  <c r="B49" i="11"/>
  <c r="B48" i="11"/>
  <c r="B47" i="11"/>
  <c r="F37" i="30"/>
  <c r="M46" i="11" l="1"/>
  <c r="C81" i="36"/>
  <c r="Q46" i="11" s="1"/>
  <c r="M45" i="11"/>
  <c r="Q39" i="11"/>
  <c r="Q40" i="11"/>
  <c r="Q41" i="11"/>
  <c r="Q42" i="11"/>
  <c r="Q43" i="11"/>
  <c r="Q38" i="11"/>
  <c r="C74" i="36"/>
  <c r="Q44" i="11" s="1"/>
  <c r="T31" i="11"/>
  <c r="T32" i="11"/>
  <c r="T33" i="11"/>
  <c r="T34" i="11"/>
  <c r="T35" i="11"/>
  <c r="T30" i="11"/>
  <c r="Q27" i="11"/>
  <c r="X25" i="11"/>
  <c r="M25" i="11"/>
  <c r="Q21" i="11"/>
  <c r="Q20" i="11"/>
  <c r="Q19" i="11"/>
  <c r="Q18" i="11"/>
  <c r="Q14" i="11"/>
  <c r="C46" i="36"/>
  <c r="Q15" i="11" s="1"/>
  <c r="Q64" i="11"/>
  <c r="M69" i="11"/>
  <c r="M68" i="11"/>
  <c r="C156" i="36"/>
  <c r="Q69" i="11" s="1"/>
  <c r="C151" i="36"/>
  <c r="Q68" i="11" s="1"/>
  <c r="M64" i="11"/>
  <c r="M63" i="11"/>
  <c r="M62" i="11"/>
  <c r="M61" i="11"/>
  <c r="M60" i="11"/>
  <c r="D52" i="14"/>
  <c r="AP18" i="4" s="1"/>
  <c r="AI4" i="4" s="1"/>
  <c r="C115" i="36"/>
  <c r="C127" i="36"/>
  <c r="C121" i="36"/>
  <c r="C109" i="36"/>
  <c r="C130" i="36"/>
  <c r="C129" i="36"/>
  <c r="C124" i="36"/>
  <c r="C123" i="36"/>
  <c r="C118" i="36"/>
  <c r="C117" i="36"/>
  <c r="C112" i="36"/>
  <c r="C111" i="36"/>
  <c r="D100" i="14"/>
  <c r="D82" i="14"/>
  <c r="D90" i="14"/>
  <c r="I6" i="36"/>
  <c r="I5" i="36"/>
  <c r="I4" i="36"/>
  <c r="H6" i="35"/>
  <c r="H5" i="35"/>
  <c r="H4" i="35"/>
  <c r="K7" i="23"/>
  <c r="K6" i="23"/>
  <c r="K5" i="23"/>
  <c r="H6" i="12"/>
  <c r="H5" i="12"/>
  <c r="H4" i="12"/>
  <c r="AI5" i="4" l="1"/>
  <c r="AI7" i="4"/>
  <c r="AI6" i="4"/>
  <c r="Q60" i="11"/>
  <c r="Q63" i="11"/>
  <c r="Q61" i="11"/>
  <c r="Q62" i="11"/>
  <c r="L4" i="30"/>
  <c r="L3" i="30"/>
  <c r="M12" i="12" a="1"/>
  <c r="M12" i="12" s="1"/>
  <c r="D12" i="35"/>
  <c r="C12" i="35" s="1"/>
  <c r="D11" i="35"/>
  <c r="C11" i="35" s="1"/>
  <c r="D10" i="35"/>
  <c r="C10" i="35" s="1"/>
  <c r="C6" i="36" l="1"/>
  <c r="B6" i="35"/>
  <c r="E7" i="23"/>
  <c r="D23" i="35"/>
  <c r="C23" i="35" s="1"/>
  <c r="B6" i="12"/>
  <c r="D109" i="14"/>
  <c r="D108" i="14"/>
  <c r="D107" i="14"/>
  <c r="A13" i="30" l="1"/>
  <c r="A72" i="30" s="1"/>
  <c r="F95" i="30"/>
  <c r="F94" i="30"/>
  <c r="F93" i="30"/>
  <c r="F92" i="30"/>
  <c r="Q89" i="30"/>
  <c r="F89" i="30"/>
  <c r="Q88" i="30"/>
  <c r="F88" i="30"/>
  <c r="Q87" i="30"/>
  <c r="F87" i="30"/>
  <c r="F86" i="30"/>
  <c r="Q85" i="30"/>
  <c r="F85" i="30"/>
  <c r="Q84" i="30"/>
  <c r="F84" i="30"/>
  <c r="Q83" i="30"/>
  <c r="F83" i="30"/>
  <c r="Q82" i="30"/>
  <c r="F82" i="30"/>
  <c r="Q81" i="30"/>
  <c r="F81" i="30"/>
  <c r="Q80" i="30"/>
  <c r="F80" i="30"/>
  <c r="C80" i="30"/>
  <c r="A80" i="30"/>
  <c r="O79" i="30"/>
  <c r="N79" i="30"/>
  <c r="M79" i="30"/>
  <c r="L79" i="30"/>
  <c r="K79" i="30"/>
  <c r="J79" i="30"/>
  <c r="I79" i="30"/>
  <c r="H79" i="30"/>
  <c r="F79" i="30"/>
  <c r="C79" i="30"/>
  <c r="A79" i="30"/>
  <c r="C78" i="30"/>
  <c r="A78" i="30"/>
  <c r="Q77" i="30"/>
  <c r="F77" i="30"/>
  <c r="C77" i="30"/>
  <c r="A77" i="30"/>
  <c r="Q76" i="30"/>
  <c r="F76" i="30"/>
  <c r="C76" i="30"/>
  <c r="A76" i="30"/>
  <c r="Q75" i="30"/>
  <c r="F75" i="30"/>
  <c r="A75" i="30"/>
  <c r="Q74" i="30"/>
  <c r="F74" i="30"/>
  <c r="Q73" i="30"/>
  <c r="F73" i="30"/>
  <c r="C73" i="30"/>
  <c r="A73" i="30"/>
  <c r="Q72" i="30"/>
  <c r="F72" i="30"/>
  <c r="C72" i="30"/>
  <c r="Q71" i="30"/>
  <c r="F71" i="30"/>
  <c r="C71" i="30"/>
  <c r="A71" i="30"/>
  <c r="Q70" i="30"/>
  <c r="F70" i="30"/>
  <c r="C70" i="30"/>
  <c r="A70" i="30"/>
  <c r="Q69" i="30"/>
  <c r="F69" i="30"/>
  <c r="C69" i="30"/>
  <c r="A69" i="30"/>
  <c r="Q68" i="30"/>
  <c r="F68" i="30"/>
  <c r="C68" i="30"/>
  <c r="A68" i="30"/>
  <c r="O67" i="30"/>
  <c r="N67" i="30"/>
  <c r="M67" i="30"/>
  <c r="L67" i="30"/>
  <c r="K67" i="30"/>
  <c r="J67" i="30"/>
  <c r="I67" i="30"/>
  <c r="H67" i="30"/>
  <c r="F67" i="30"/>
  <c r="A67" i="30"/>
  <c r="I61" i="30"/>
  <c r="L61" i="30" s="1"/>
  <c r="L60" i="30"/>
  <c r="L59" i="30"/>
  <c r="D24" i="14" l="1"/>
  <c r="S16" i="29"/>
  <c r="S15" i="29"/>
  <c r="S14" i="29"/>
  <c r="S13" i="29"/>
  <c r="S12" i="29"/>
  <c r="S11" i="29"/>
  <c r="S10" i="29"/>
  <c r="S9" i="29"/>
  <c r="G11" i="29"/>
  <c r="L6" i="11" l="1"/>
  <c r="M6" i="29"/>
  <c r="L6" i="12"/>
  <c r="N6" i="30"/>
  <c r="J6" i="14"/>
  <c r="M6" i="36"/>
  <c r="O7" i="23"/>
  <c r="L6" i="35"/>
  <c r="G28" i="29"/>
  <c r="D27" i="29" s="1"/>
  <c r="D28" i="29" s="1"/>
  <c r="T172" i="11"/>
  <c r="T178" i="11"/>
  <c r="T177" i="11"/>
  <c r="T176" i="11"/>
  <c r="T175" i="11"/>
  <c r="T174" i="11"/>
  <c r="T173" i="11"/>
  <c r="T171" i="11"/>
  <c r="V179" i="11"/>
  <c r="V178" i="11"/>
  <c r="V177" i="11"/>
  <c r="V176" i="11"/>
  <c r="V175" i="11"/>
  <c r="V174" i="11"/>
  <c r="V173" i="11"/>
  <c r="V172" i="11"/>
  <c r="V171" i="11"/>
  <c r="P28" i="29" l="1"/>
  <c r="O28" i="29"/>
  <c r="T179" i="11"/>
  <c r="V183" i="11" l="1"/>
  <c r="V166" i="11"/>
  <c r="V163" i="11"/>
  <c r="V162" i="11"/>
  <c r="V161" i="11"/>
  <c r="V159" i="11"/>
  <c r="V158" i="11"/>
  <c r="V157" i="11"/>
  <c r="V156" i="11"/>
  <c r="V155" i="11"/>
  <c r="V153" i="11"/>
  <c r="V152" i="11"/>
  <c r="V151" i="11"/>
  <c r="V149" i="11"/>
  <c r="V148" i="11"/>
  <c r="V147" i="11"/>
  <c r="V146" i="11"/>
  <c r="V145" i="11"/>
  <c r="V73" i="11"/>
  <c r="V28" i="11"/>
  <c r="D29" i="14"/>
  <c r="W110" i="11" l="1"/>
  <c r="W181" i="11"/>
  <c r="W182" i="11"/>
  <c r="W109" i="11"/>
  <c r="W107" i="11"/>
  <c r="W113" i="11"/>
  <c r="W112" i="11"/>
  <c r="W118" i="11"/>
  <c r="W117" i="11"/>
  <c r="W114" i="11"/>
  <c r="W111" i="11"/>
  <c r="W108" i="11"/>
  <c r="W106" i="11"/>
  <c r="W105" i="11"/>
  <c r="V94" i="11" l="1"/>
  <c r="V93" i="11"/>
  <c r="V92" i="11"/>
  <c r="V91" i="11"/>
  <c r="V88" i="11"/>
  <c r="V87" i="11"/>
  <c r="V86" i="11"/>
  <c r="V85" i="11"/>
  <c r="V84" i="11"/>
  <c r="V83" i="11"/>
  <c r="V82" i="11"/>
  <c r="V81" i="11"/>
  <c r="V80" i="11"/>
  <c r="V79" i="11"/>
  <c r="V70" i="11"/>
  <c r="V65" i="11"/>
  <c r="V56" i="11"/>
  <c r="V52" i="11"/>
  <c r="V47" i="11"/>
  <c r="V69" i="11"/>
  <c r="V68" i="11"/>
  <c r="V67" i="11"/>
  <c r="V64" i="11"/>
  <c r="V63" i="11"/>
  <c r="V62" i="11"/>
  <c r="V61" i="11"/>
  <c r="V60" i="11"/>
  <c r="V55" i="11"/>
  <c r="V54" i="11"/>
  <c r="V51" i="11"/>
  <c r="V50" i="11"/>
  <c r="V49" i="11"/>
  <c r="V48" i="11"/>
  <c r="V46" i="11"/>
  <c r="V45" i="11"/>
  <c r="V36" i="11"/>
  <c r="V27" i="11"/>
  <c r="V25" i="11"/>
  <c r="V16" i="11"/>
  <c r="M73" i="11"/>
  <c r="T88" i="11"/>
  <c r="T87" i="11"/>
  <c r="T83" i="11"/>
  <c r="T84" i="11"/>
  <c r="T85" i="11"/>
  <c r="M94" i="11"/>
  <c r="M95" i="11" s="1"/>
  <c r="M96" i="11" s="1"/>
  <c r="M97" i="11" s="1"/>
  <c r="U86" i="11"/>
  <c r="M118" i="11"/>
  <c r="M119" i="11" s="1"/>
  <c r="M120" i="11" s="1"/>
  <c r="M121" i="11" s="1"/>
  <c r="T111" i="11"/>
  <c r="T109" i="11"/>
  <c r="T108" i="11"/>
  <c r="U110" i="11"/>
  <c r="Y110" i="11" s="1"/>
  <c r="U67" i="11"/>
  <c r="T64" i="11"/>
  <c r="M54" i="11"/>
  <c r="T54" i="11" s="1"/>
  <c r="M55" i="11"/>
  <c r="T55" i="11" s="1"/>
  <c r="U48" i="11"/>
  <c r="M49" i="11"/>
  <c r="M50" i="11"/>
  <c r="T50" i="11" s="1"/>
  <c r="U30" i="11"/>
  <c r="U31" i="11"/>
  <c r="U32" i="11"/>
  <c r="U33" i="11"/>
  <c r="U34" i="11"/>
  <c r="U35" i="11"/>
  <c r="T36" i="11"/>
  <c r="U36" i="11" l="1"/>
  <c r="T56" i="11"/>
  <c r="M51" i="11" l="1"/>
  <c r="R27" i="11" l="1"/>
  <c r="U27" i="11" s="1"/>
  <c r="T27" i="11"/>
  <c r="M16" i="11" l="1"/>
  <c r="D106" i="14" l="1"/>
  <c r="D97" i="14"/>
  <c r="D96" i="14"/>
  <c r="D95" i="14"/>
  <c r="D94" i="14"/>
  <c r="D92" i="14"/>
  <c r="D91" i="14"/>
  <c r="D88" i="14"/>
  <c r="X15" i="4" s="1"/>
  <c r="D87" i="14"/>
  <c r="D86" i="14"/>
  <c r="D85" i="14"/>
  <c r="M23" i="14"/>
  <c r="M26" i="14" s="1"/>
  <c r="M27" i="14" s="1"/>
  <c r="L23" i="14"/>
  <c r="L26" i="14" s="1"/>
  <c r="L27" i="14" s="1"/>
  <c r="K23" i="14"/>
  <c r="K26" i="14" s="1"/>
  <c r="K27" i="14" s="1"/>
  <c r="J23" i="14"/>
  <c r="J26" i="14" s="1"/>
  <c r="J27" i="14" s="1"/>
  <c r="I23" i="14"/>
  <c r="I26" i="14" s="1"/>
  <c r="I27" i="14" s="1"/>
  <c r="S89" i="6" l="1"/>
  <c r="S91" i="6"/>
  <c r="S42" i="45"/>
  <c r="L5" i="11" l="1"/>
  <c r="M5" i="29"/>
  <c r="L5" i="12"/>
  <c r="N5" i="30"/>
  <c r="J5" i="14"/>
  <c r="M5" i="36"/>
  <c r="O6" i="23"/>
  <c r="L5" i="35"/>
  <c r="G26" i="29"/>
  <c r="P26" i="29" s="1"/>
  <c r="O26" i="29" l="1"/>
  <c r="D25" i="29"/>
  <c r="D26" i="29" s="1"/>
  <c r="O23" i="14" l="1"/>
  <c r="O26" i="14" s="1"/>
  <c r="O27" i="14" s="1"/>
  <c r="P23" i="14"/>
  <c r="P26" i="14" s="1"/>
  <c r="P27" i="14" s="1"/>
  <c r="Q23" i="14"/>
  <c r="R23" i="14"/>
  <c r="R26" i="14" s="1"/>
  <c r="R27" i="14" s="1"/>
  <c r="N23" i="14"/>
  <c r="N26" i="14" s="1"/>
  <c r="N27" i="14" s="1"/>
  <c r="G12" i="29" l="1"/>
  <c r="Q26" i="14"/>
  <c r="Q27" i="14" s="1"/>
  <c r="S146" i="11"/>
  <c r="S147" i="11"/>
  <c r="Z12" i="23" l="1"/>
  <c r="AH31" i="12"/>
  <c r="AH30" i="12" s="1"/>
  <c r="AH29" i="12" s="1"/>
  <c r="AH28" i="12" s="1"/>
  <c r="AF31" i="12"/>
  <c r="AF30" i="12" s="1"/>
  <c r="AF29" i="12" s="1"/>
  <c r="AF28" i="12" s="1"/>
  <c r="AF27" i="12" s="1"/>
  <c r="AF26" i="12" s="1"/>
  <c r="AF25" i="12" s="1"/>
  <c r="AF24" i="12" s="1"/>
  <c r="AF23" i="12" s="1"/>
  <c r="AF22" i="12" s="1"/>
  <c r="AF21" i="12" s="1"/>
  <c r="AF20" i="12" s="1"/>
  <c r="AH12" i="12" l="1" a="1"/>
  <c r="AH12" i="12" s="1"/>
  <c r="D34" i="35" s="1"/>
  <c r="C34" i="35" s="1"/>
  <c r="AH27" i="12"/>
  <c r="AH26" i="12" s="1"/>
  <c r="AH25" i="12" s="1"/>
  <c r="AH24" i="12" s="1"/>
  <c r="AH23" i="12" s="1"/>
  <c r="AH22" i="12" s="1"/>
  <c r="AH21" i="12" s="1"/>
  <c r="AH20" i="12" s="1"/>
  <c r="AF12" i="12" a="1"/>
  <c r="AF12" i="12" s="1"/>
  <c r="D33" i="35" s="1"/>
  <c r="C33" i="35" s="1"/>
  <c r="G13" i="29"/>
  <c r="AD12" i="12" a="1"/>
  <c r="AD12" i="12" s="1"/>
  <c r="K4" i="23" l="1"/>
  <c r="H3" i="35"/>
  <c r="I3" i="36"/>
  <c r="D32" i="35"/>
  <c r="C32" i="35" s="1"/>
  <c r="H3" i="12"/>
  <c r="H93" i="11"/>
  <c r="H92" i="11"/>
  <c r="H91" i="11"/>
  <c r="X172" i="11"/>
  <c r="X171" i="11"/>
  <c r="X176" i="11"/>
  <c r="X174" i="11"/>
  <c r="X178" i="11"/>
  <c r="P49" i="11"/>
  <c r="P88" i="11"/>
  <c r="P87" i="11"/>
  <c r="P92" i="11"/>
  <c r="P91" i="11"/>
  <c r="P175" i="11"/>
  <c r="P173" i="11"/>
  <c r="P81" i="11"/>
  <c r="P85" i="11"/>
  <c r="P178" i="11"/>
  <c r="P174" i="11"/>
  <c r="P93" i="11"/>
  <c r="X85" i="11"/>
  <c r="X50" i="11"/>
  <c r="X80" i="11"/>
  <c r="X62" i="11"/>
  <c r="X61" i="11"/>
  <c r="X60" i="11"/>
  <c r="X82" i="11"/>
  <c r="X49" i="11"/>
  <c r="X84" i="11"/>
  <c r="X64" i="11"/>
  <c r="X69" i="11"/>
  <c r="X81" i="11"/>
  <c r="X46" i="11"/>
  <c r="X45" i="11"/>
  <c r="X79" i="11"/>
  <c r="X54" i="11"/>
  <c r="X83" i="11"/>
  <c r="X93" i="11"/>
  <c r="X55" i="11"/>
  <c r="X92" i="11"/>
  <c r="X91" i="11"/>
  <c r="X88" i="11"/>
  <c r="X36" i="11"/>
  <c r="X27" i="11"/>
  <c r="X16" i="11"/>
  <c r="P50" i="11"/>
  <c r="P69" i="11"/>
  <c r="P68" i="11"/>
  <c r="P46" i="11"/>
  <c r="P64" i="11"/>
  <c r="P45" i="11"/>
  <c r="P60" i="11"/>
  <c r="P55" i="11"/>
  <c r="P54" i="11"/>
  <c r="P51" i="11"/>
  <c r="P63" i="11"/>
  <c r="P62" i="11"/>
  <c r="P61" i="11"/>
  <c r="P25" i="11"/>
  <c r="P16" i="11"/>
  <c r="A193" i="11"/>
  <c r="A194" i="11"/>
  <c r="A190" i="11"/>
  <c r="A189" i="11"/>
  <c r="A188" i="11"/>
  <c r="A187" i="11"/>
  <c r="A129" i="11"/>
  <c r="A128" i="11"/>
  <c r="A127" i="11"/>
  <c r="A126" i="11"/>
  <c r="T82" i="11"/>
  <c r="T81" i="11"/>
  <c r="T80" i="11"/>
  <c r="T79" i="11"/>
  <c r="T107" i="11"/>
  <c r="T105" i="11"/>
  <c r="T119" i="11" s="1"/>
  <c r="T96" i="11" l="1"/>
  <c r="T95" i="11"/>
  <c r="D58" i="14" l="1"/>
  <c r="N24" i="11" s="1"/>
  <c r="E30" i="12" l="1"/>
  <c r="K93" i="14"/>
  <c r="K68" i="14"/>
  <c r="P93" i="14"/>
  <c r="P68" i="14"/>
  <c r="M93" i="14" l="1"/>
  <c r="M68" i="14"/>
  <c r="Q93" i="14"/>
  <c r="Q68" i="14"/>
  <c r="Y181" i="11" l="1"/>
  <c r="O93" i="14" l="1"/>
  <c r="O68" i="14"/>
  <c r="X19" i="7" l="1"/>
  <c r="T19" i="7"/>
  <c r="X18" i="7"/>
  <c r="T18" i="7"/>
  <c r="X17" i="7"/>
  <c r="T17" i="7"/>
  <c r="X16" i="7"/>
  <c r="T16" i="7"/>
  <c r="H16" i="7"/>
  <c r="X15" i="7"/>
  <c r="T15" i="7"/>
  <c r="H15" i="7"/>
  <c r="X14" i="7"/>
  <c r="T14" i="7"/>
  <c r="H14" i="7"/>
  <c r="X13" i="7"/>
  <c r="T13" i="7"/>
  <c r="H13" i="7"/>
  <c r="H12" i="7"/>
  <c r="U5" i="7"/>
  <c r="T5" i="7"/>
  <c r="U4" i="7"/>
  <c r="T4" i="7"/>
  <c r="U3" i="7"/>
  <c r="T3" i="7"/>
  <c r="H24" i="4"/>
  <c r="O24" i="4" s="1"/>
  <c r="H23" i="4"/>
  <c r="O23" i="4" s="1"/>
  <c r="H22" i="4"/>
  <c r="O22" i="4" s="1"/>
  <c r="H21" i="4"/>
  <c r="O21" i="4" s="1"/>
  <c r="H20" i="4"/>
  <c r="O20" i="4" s="1"/>
  <c r="H19" i="4"/>
  <c r="O19" i="4" s="1"/>
  <c r="H18" i="4"/>
  <c r="O18" i="4" s="1"/>
  <c r="H17" i="4"/>
  <c r="O17" i="4" s="1"/>
  <c r="H16" i="4"/>
  <c r="O16" i="4" s="1"/>
  <c r="H15" i="4"/>
  <c r="O15" i="4" s="1"/>
  <c r="H14" i="4"/>
  <c r="O14" i="4" s="1"/>
  <c r="H13" i="4"/>
  <c r="O13" i="4" s="1"/>
  <c r="H12" i="4"/>
  <c r="O12" i="4" s="1"/>
  <c r="H11" i="4"/>
  <c r="O11" i="4" s="1"/>
  <c r="H10" i="4"/>
  <c r="O10" i="4" s="1"/>
  <c r="H9" i="4"/>
  <c r="O9" i="4" s="1"/>
  <c r="H8" i="4"/>
  <c r="O8" i="4" s="1"/>
  <c r="H7" i="4"/>
  <c r="O7" i="4" s="1"/>
  <c r="H6" i="4"/>
  <c r="O6" i="4" s="1"/>
  <c r="H5" i="4"/>
  <c r="O5" i="4" s="1"/>
  <c r="H4" i="4"/>
  <c r="O4" i="4" s="1"/>
  <c r="K83" i="6"/>
  <c r="T69" i="11"/>
  <c r="T68" i="11"/>
  <c r="L63" i="11"/>
  <c r="T63" i="11"/>
  <c r="L62" i="11"/>
  <c r="T62" i="11"/>
  <c r="L61" i="11"/>
  <c r="T61" i="11"/>
  <c r="L60" i="11"/>
  <c r="T60" i="11"/>
  <c r="T51" i="11"/>
  <c r="T49" i="11"/>
  <c r="T46" i="11"/>
  <c r="Q45" i="11"/>
  <c r="T45" i="11" s="1"/>
  <c r="Q23" i="11"/>
  <c r="Q22" i="11"/>
  <c r="Q16" i="11"/>
  <c r="T16" i="11" s="1"/>
  <c r="AQ243" i="24"/>
  <c r="P242" i="24"/>
  <c r="AJ241" i="24"/>
  <c r="AI241" i="24"/>
  <c r="AH241" i="24"/>
  <c r="AG241" i="24"/>
  <c r="AF241" i="24"/>
  <c r="AE241" i="24"/>
  <c r="AD241" i="24"/>
  <c r="AC241" i="24"/>
  <c r="AB241" i="24"/>
  <c r="AA241" i="24"/>
  <c r="Z241" i="24"/>
  <c r="R241" i="24"/>
  <c r="AJ240" i="24"/>
  <c r="AI240" i="24"/>
  <c r="AH240" i="24"/>
  <c r="AG240" i="24"/>
  <c r="AF240" i="24"/>
  <c r="AE240" i="24"/>
  <c r="AD240" i="24"/>
  <c r="AC240" i="24"/>
  <c r="AB240" i="24"/>
  <c r="AA240" i="24"/>
  <c r="Q240" i="24"/>
  <c r="Q242" i="24" s="1"/>
  <c r="AJ239" i="24"/>
  <c r="AI239" i="24"/>
  <c r="AH239" i="24"/>
  <c r="AG239" i="24"/>
  <c r="AF239" i="24"/>
  <c r="AE239" i="24"/>
  <c r="AD239" i="24"/>
  <c r="AC239" i="24"/>
  <c r="R239" i="24"/>
  <c r="AQ238" i="24"/>
  <c r="AQ237" i="24"/>
  <c r="AQ236" i="24"/>
  <c r="P235" i="24"/>
  <c r="AJ234" i="24"/>
  <c r="AI234" i="24"/>
  <c r="AH234" i="24"/>
  <c r="AG234" i="24"/>
  <c r="AF234" i="24"/>
  <c r="AE234" i="24"/>
  <c r="AD234" i="24"/>
  <c r="AC234" i="24"/>
  <c r="AB234" i="24"/>
  <c r="AA234" i="24"/>
  <c r="Z234" i="24"/>
  <c r="Q234" i="24"/>
  <c r="R234" i="24" s="1"/>
  <c r="AJ233" i="24"/>
  <c r="AI233" i="24"/>
  <c r="AH233" i="24"/>
  <c r="AG233" i="24"/>
  <c r="AF233" i="24"/>
  <c r="AE233" i="24"/>
  <c r="AD233" i="24"/>
  <c r="AC233" i="24"/>
  <c r="AB233" i="24"/>
  <c r="AA233" i="24"/>
  <c r="Q233" i="24"/>
  <c r="R233" i="24" s="1"/>
  <c r="AJ232" i="24"/>
  <c r="AI232" i="24"/>
  <c r="AH232" i="24"/>
  <c r="AG232" i="24"/>
  <c r="AF232" i="24"/>
  <c r="AE232" i="24"/>
  <c r="AD232" i="24"/>
  <c r="AC232" i="24"/>
  <c r="Q232" i="24"/>
  <c r="R232" i="24" s="1"/>
  <c r="AQ230" i="24"/>
  <c r="AQ228" i="24"/>
  <c r="Q227" i="24"/>
  <c r="P227" i="24"/>
  <c r="AL226" i="24"/>
  <c r="AK226" i="24"/>
  <c r="AJ226" i="24"/>
  <c r="AI226" i="24"/>
  <c r="AH226" i="24"/>
  <c r="AG226" i="24"/>
  <c r="AF226" i="24"/>
  <c r="AE226" i="24"/>
  <c r="AD226" i="24"/>
  <c r="AC226" i="24"/>
  <c r="AB226" i="24"/>
  <c r="AA226" i="24"/>
  <c r="Z226" i="24"/>
  <c r="Y226" i="24"/>
  <c r="R226" i="24"/>
  <c r="AQ225" i="24"/>
  <c r="Q224" i="24"/>
  <c r="P224" i="24"/>
  <c r="AL223" i="24"/>
  <c r="AK223" i="24"/>
  <c r="AJ223" i="24"/>
  <c r="AI223" i="24"/>
  <c r="AH223" i="24"/>
  <c r="AG223" i="24"/>
  <c r="AF223" i="24"/>
  <c r="AE223" i="24"/>
  <c r="AD223" i="24"/>
  <c r="AC223" i="24"/>
  <c r="AB223" i="24"/>
  <c r="AA223" i="24"/>
  <c r="Z223" i="24"/>
  <c r="Y223" i="24"/>
  <c r="R223" i="24"/>
  <c r="AL222" i="24"/>
  <c r="AK222" i="24"/>
  <c r="AJ222" i="24"/>
  <c r="AI222" i="24"/>
  <c r="AH222" i="24"/>
  <c r="AG222" i="24"/>
  <c r="AF222" i="24"/>
  <c r="AE222" i="24"/>
  <c r="AD222" i="24"/>
  <c r="AC222" i="24"/>
  <c r="AB222" i="24"/>
  <c r="AA222" i="24"/>
  <c r="Z222" i="24"/>
  <c r="Y222" i="24"/>
  <c r="R222" i="24"/>
  <c r="AL221" i="24"/>
  <c r="AK221" i="24"/>
  <c r="AJ221" i="24"/>
  <c r="AI221" i="24"/>
  <c r="AH221" i="24"/>
  <c r="AG221" i="24"/>
  <c r="AF221" i="24"/>
  <c r="AE221" i="24"/>
  <c r="AD221" i="24"/>
  <c r="AC221" i="24"/>
  <c r="AB221" i="24"/>
  <c r="AA221" i="24"/>
  <c r="Z221" i="24"/>
  <c r="Y221" i="24"/>
  <c r="R221" i="24"/>
  <c r="AL220" i="24"/>
  <c r="AK220" i="24"/>
  <c r="AJ220" i="24"/>
  <c r="AI220" i="24"/>
  <c r="AH220" i="24"/>
  <c r="AG220" i="24"/>
  <c r="AF220" i="24"/>
  <c r="AE220" i="24"/>
  <c r="AD220" i="24"/>
  <c r="AC220" i="24"/>
  <c r="AB220" i="24"/>
  <c r="AA220" i="24"/>
  <c r="Z220" i="24"/>
  <c r="Y220" i="24"/>
  <c r="R220" i="24"/>
  <c r="AL219" i="24"/>
  <c r="AK219" i="24"/>
  <c r="AJ219" i="24"/>
  <c r="AI219" i="24"/>
  <c r="AH219" i="24"/>
  <c r="AG219" i="24"/>
  <c r="AF219" i="24"/>
  <c r="AE219" i="24"/>
  <c r="AD219" i="24"/>
  <c r="AC219" i="24"/>
  <c r="AB219" i="24"/>
  <c r="AA219" i="24"/>
  <c r="Z219" i="24"/>
  <c r="Y219" i="24"/>
  <c r="R219" i="24"/>
  <c r="AL218" i="24"/>
  <c r="AK218" i="24"/>
  <c r="AJ218" i="24"/>
  <c r="AI218" i="24"/>
  <c r="AH218" i="24"/>
  <c r="AG218" i="24"/>
  <c r="AF218" i="24"/>
  <c r="AE218" i="24"/>
  <c r="AD218" i="24"/>
  <c r="AC218" i="24"/>
  <c r="AB218" i="24"/>
  <c r="AA218" i="24"/>
  <c r="Z218" i="24"/>
  <c r="Y218" i="24"/>
  <c r="R218" i="24"/>
  <c r="AQ217" i="24"/>
  <c r="P216" i="24"/>
  <c r="AL215" i="24"/>
  <c r="AK215" i="24"/>
  <c r="AJ215" i="24"/>
  <c r="AI215" i="24"/>
  <c r="AH215" i="24"/>
  <c r="AG215" i="24"/>
  <c r="AF215" i="24"/>
  <c r="AE215" i="24"/>
  <c r="AD215" i="24"/>
  <c r="AC215" i="24"/>
  <c r="AB215" i="24"/>
  <c r="AA215" i="24"/>
  <c r="Z215" i="24"/>
  <c r="Y215" i="24"/>
  <c r="Q215" i="24"/>
  <c r="R215" i="24" s="1"/>
  <c r="AL214" i="24"/>
  <c r="AK214" i="24"/>
  <c r="AJ214" i="24"/>
  <c r="AI214" i="24"/>
  <c r="AH214" i="24"/>
  <c r="AG214" i="24"/>
  <c r="AF214" i="24"/>
  <c r="AE214" i="24"/>
  <c r="AD214" i="24"/>
  <c r="AC214" i="24"/>
  <c r="AB214" i="24"/>
  <c r="AA214" i="24"/>
  <c r="Z214" i="24"/>
  <c r="Y214" i="24"/>
  <c r="Q214" i="24"/>
  <c r="R214" i="24" s="1"/>
  <c r="AL213" i="24"/>
  <c r="AK213" i="24"/>
  <c r="AJ213" i="24"/>
  <c r="AI213" i="24"/>
  <c r="AH213" i="24"/>
  <c r="AG213" i="24"/>
  <c r="AF213" i="24"/>
  <c r="AE213" i="24"/>
  <c r="AD213" i="24"/>
  <c r="AC213" i="24"/>
  <c r="AB213" i="24"/>
  <c r="AA213" i="24"/>
  <c r="Z213" i="24"/>
  <c r="Y213" i="24"/>
  <c r="Q213" i="24"/>
  <c r="R213" i="24" s="1"/>
  <c r="AL212" i="24"/>
  <c r="AK212" i="24"/>
  <c r="AJ212" i="24"/>
  <c r="AI212" i="24"/>
  <c r="AH212" i="24"/>
  <c r="AG212" i="24"/>
  <c r="AF212" i="24"/>
  <c r="AE212" i="24"/>
  <c r="AD212" i="24"/>
  <c r="AC212" i="24"/>
  <c r="AB212" i="24"/>
  <c r="AA212" i="24"/>
  <c r="Z212" i="24"/>
  <c r="Y212" i="24"/>
  <c r="Q212" i="24"/>
  <c r="R212" i="24" s="1"/>
  <c r="AL211" i="24"/>
  <c r="AK211" i="24"/>
  <c r="AJ211" i="24"/>
  <c r="AI211" i="24"/>
  <c r="AH211" i="24"/>
  <c r="AG211" i="24"/>
  <c r="AF211" i="24"/>
  <c r="AE211" i="24"/>
  <c r="AD211" i="24"/>
  <c r="AC211" i="24"/>
  <c r="AB211" i="24"/>
  <c r="AA211" i="24"/>
  <c r="Z211" i="24"/>
  <c r="Y211" i="24"/>
  <c r="Q211" i="24"/>
  <c r="R211" i="24" s="1"/>
  <c r="AL210" i="24"/>
  <c r="AK210" i="24"/>
  <c r="AJ210" i="24"/>
  <c r="AI210" i="24"/>
  <c r="AH210" i="24"/>
  <c r="AG210" i="24"/>
  <c r="AF210" i="24"/>
  <c r="AE210" i="24"/>
  <c r="AD210" i="24"/>
  <c r="AC210" i="24"/>
  <c r="AB210" i="24"/>
  <c r="AA210" i="24"/>
  <c r="Z210" i="24"/>
  <c r="Y210" i="24"/>
  <c r="Q210" i="24"/>
  <c r="AQ209" i="24"/>
  <c r="P208" i="24"/>
  <c r="AL207" i="24"/>
  <c r="AK207" i="24"/>
  <c r="AJ207" i="24"/>
  <c r="AI207" i="24"/>
  <c r="AH207" i="24"/>
  <c r="AG207" i="24"/>
  <c r="AF207" i="24"/>
  <c r="AE207" i="24"/>
  <c r="AD207" i="24"/>
  <c r="AC207" i="24"/>
  <c r="AB207" i="24"/>
  <c r="AA207" i="24"/>
  <c r="Z207" i="24"/>
  <c r="Y207" i="24"/>
  <c r="U207" i="24"/>
  <c r="AL206" i="24"/>
  <c r="AK206" i="24"/>
  <c r="AJ206" i="24"/>
  <c r="AI206" i="24"/>
  <c r="AH206" i="24"/>
  <c r="AG206" i="24"/>
  <c r="AF206" i="24"/>
  <c r="AE206" i="24"/>
  <c r="AD206" i="24"/>
  <c r="AC206" i="24"/>
  <c r="AB206" i="24"/>
  <c r="AA206" i="24"/>
  <c r="Z206" i="24"/>
  <c r="Y206" i="24"/>
  <c r="U206" i="24"/>
  <c r="AL205" i="24"/>
  <c r="AK205" i="24"/>
  <c r="AJ205" i="24"/>
  <c r="AI205" i="24"/>
  <c r="AH205" i="24"/>
  <c r="AG205" i="24"/>
  <c r="AF205" i="24"/>
  <c r="AE205" i="24"/>
  <c r="AD205" i="24"/>
  <c r="AC205" i="24"/>
  <c r="AB205" i="24"/>
  <c r="AA205" i="24"/>
  <c r="Z205" i="24"/>
  <c r="Y205" i="24"/>
  <c r="Q205" i="24"/>
  <c r="R205" i="24" s="1"/>
  <c r="AL204" i="24"/>
  <c r="AK204" i="24"/>
  <c r="AJ204" i="24"/>
  <c r="AI204" i="24"/>
  <c r="AH204" i="24"/>
  <c r="AG204" i="24"/>
  <c r="AF204" i="24"/>
  <c r="AE204" i="24"/>
  <c r="AD204" i="24"/>
  <c r="AC204" i="24"/>
  <c r="AB204" i="24"/>
  <c r="AA204" i="24"/>
  <c r="Z204" i="24"/>
  <c r="Y204" i="24"/>
  <c r="U204" i="24"/>
  <c r="AL203" i="24"/>
  <c r="AK203" i="24"/>
  <c r="AJ203" i="24"/>
  <c r="AI203" i="24"/>
  <c r="AH203" i="24"/>
  <c r="AG203" i="24"/>
  <c r="AF203" i="24"/>
  <c r="AE203" i="24"/>
  <c r="AD203" i="24"/>
  <c r="AC203" i="24"/>
  <c r="AB203" i="24"/>
  <c r="AA203" i="24"/>
  <c r="Z203" i="24"/>
  <c r="Y203" i="24"/>
  <c r="U203" i="24"/>
  <c r="AL202" i="24"/>
  <c r="AK202" i="24"/>
  <c r="AJ202" i="24"/>
  <c r="AI202" i="24"/>
  <c r="AH202" i="24"/>
  <c r="AG202" i="24"/>
  <c r="AF202" i="24"/>
  <c r="AE202" i="24"/>
  <c r="AD202" i="24"/>
  <c r="AC202" i="24"/>
  <c r="AB202" i="24"/>
  <c r="AA202" i="24"/>
  <c r="Z202" i="24"/>
  <c r="Y202" i="24"/>
  <c r="U202" i="24"/>
  <c r="AQ201" i="24"/>
  <c r="P200" i="24"/>
  <c r="AL199" i="24"/>
  <c r="AK199" i="24"/>
  <c r="AJ199" i="24"/>
  <c r="AI199" i="24"/>
  <c r="AH199" i="24"/>
  <c r="AG199" i="24"/>
  <c r="AF199" i="24"/>
  <c r="AE199" i="24"/>
  <c r="AD199" i="24"/>
  <c r="AC199" i="24"/>
  <c r="AB199" i="24"/>
  <c r="AA199" i="24"/>
  <c r="Z199" i="24"/>
  <c r="Y199" i="24"/>
  <c r="Q199" i="24"/>
  <c r="R199" i="24" s="1"/>
  <c r="AL198" i="24"/>
  <c r="AK198" i="24"/>
  <c r="AJ198" i="24"/>
  <c r="AI198" i="24"/>
  <c r="AH198" i="24"/>
  <c r="AG198" i="24"/>
  <c r="AF198" i="24"/>
  <c r="AE198" i="24"/>
  <c r="AD198" i="24"/>
  <c r="AC198" i="24"/>
  <c r="AB198" i="24"/>
  <c r="AA198" i="24"/>
  <c r="Z198" i="24"/>
  <c r="Y198" i="24"/>
  <c r="U198" i="24"/>
  <c r="AL197" i="24"/>
  <c r="AK197" i="24"/>
  <c r="AJ197" i="24"/>
  <c r="AI197" i="24"/>
  <c r="AH197" i="24"/>
  <c r="AG197" i="24"/>
  <c r="AF197" i="24"/>
  <c r="AE197" i="24"/>
  <c r="AD197" i="24"/>
  <c r="AC197" i="24"/>
  <c r="AB197" i="24"/>
  <c r="AA197" i="24"/>
  <c r="Z197" i="24"/>
  <c r="Y197" i="24"/>
  <c r="U197" i="24"/>
  <c r="AL196" i="24"/>
  <c r="AK196" i="24"/>
  <c r="AJ196" i="24"/>
  <c r="AI196" i="24"/>
  <c r="AH196" i="24"/>
  <c r="AG196" i="24"/>
  <c r="AF196" i="24"/>
  <c r="AE196" i="24"/>
  <c r="AD196" i="24"/>
  <c r="AC196" i="24"/>
  <c r="AB196" i="24"/>
  <c r="AA196" i="24"/>
  <c r="Z196" i="24"/>
  <c r="Y196" i="24"/>
  <c r="U196" i="24"/>
  <c r="U193" i="24"/>
  <c r="AQ191" i="24"/>
  <c r="P190" i="24"/>
  <c r="AN189" i="24"/>
  <c r="Q189" i="24"/>
  <c r="Q190" i="24" s="1"/>
  <c r="AQ188" i="24"/>
  <c r="P187" i="24"/>
  <c r="AN186" i="24"/>
  <c r="Q186" i="24"/>
  <c r="R186" i="24" s="1"/>
  <c r="AN185" i="24"/>
  <c r="Q185" i="24"/>
  <c r="R185" i="24" s="1"/>
  <c r="AN184" i="24"/>
  <c r="Q184" i="24"/>
  <c r="R184" i="24" s="1"/>
  <c r="AN183" i="24"/>
  <c r="Q183" i="24"/>
  <c r="R183" i="24" s="1"/>
  <c r="AN182" i="24"/>
  <c r="Q182" i="24"/>
  <c r="R182" i="24" s="1"/>
  <c r="AN181" i="24"/>
  <c r="Q181" i="24"/>
  <c r="AQ180" i="24"/>
  <c r="P179" i="24"/>
  <c r="AN178" i="24"/>
  <c r="Q178" i="24"/>
  <c r="R178" i="24" s="1"/>
  <c r="AN177" i="24"/>
  <c r="Q177" i="24"/>
  <c r="R177" i="24" s="1"/>
  <c r="AN176" i="24"/>
  <c r="Q176" i="24"/>
  <c r="R176" i="24" s="1"/>
  <c r="AN175" i="24"/>
  <c r="Q175" i="24"/>
  <c r="R175" i="24" s="1"/>
  <c r="AN174" i="24"/>
  <c r="Q174" i="24"/>
  <c r="R174" i="24" s="1"/>
  <c r="AN173" i="24"/>
  <c r="Q173" i="24"/>
  <c r="R173" i="24" s="1"/>
  <c r="AQ172" i="24"/>
  <c r="P171" i="24"/>
  <c r="AN170" i="24"/>
  <c r="Q170" i="24"/>
  <c r="R170" i="24" s="1"/>
  <c r="AN169" i="24"/>
  <c r="Q169" i="24"/>
  <c r="R169" i="24" s="1"/>
  <c r="AN168" i="24"/>
  <c r="Q168" i="24"/>
  <c r="R168" i="24" s="1"/>
  <c r="AN167" i="24"/>
  <c r="Q167" i="24"/>
  <c r="R167" i="24" s="1"/>
  <c r="AN166" i="24"/>
  <c r="Q166" i="24"/>
  <c r="R166" i="24" s="1"/>
  <c r="AN165" i="24"/>
  <c r="Q165" i="24"/>
  <c r="AQ164" i="24"/>
  <c r="P163" i="24"/>
  <c r="AN162" i="24"/>
  <c r="Q162" i="24"/>
  <c r="R162" i="24" s="1"/>
  <c r="AN161" i="24"/>
  <c r="Q161" i="24"/>
  <c r="R161" i="24" s="1"/>
  <c r="AN160" i="24"/>
  <c r="Q160" i="24"/>
  <c r="R160" i="24" s="1"/>
  <c r="AN159" i="24"/>
  <c r="Q159" i="24"/>
  <c r="AQ157" i="24"/>
  <c r="AQ155" i="24"/>
  <c r="Q154" i="24"/>
  <c r="P154" i="24"/>
  <c r="AN153" i="24"/>
  <c r="R153" i="24"/>
  <c r="AN152" i="24"/>
  <c r="R152" i="24"/>
  <c r="AQ151" i="24"/>
  <c r="Q150" i="24"/>
  <c r="P150" i="24"/>
  <c r="AN149" i="24"/>
  <c r="R149" i="24"/>
  <c r="AN148" i="24"/>
  <c r="R148" i="24"/>
  <c r="AQ147" i="24"/>
  <c r="P146" i="24"/>
  <c r="AN145" i="24"/>
  <c r="Q145" i="24"/>
  <c r="R145" i="24" s="1"/>
  <c r="AN144" i="24"/>
  <c r="Q144" i="24"/>
  <c r="R144" i="24" s="1"/>
  <c r="AN143" i="24"/>
  <c r="Q143" i="24"/>
  <c r="R143" i="24" s="1"/>
  <c r="AQ142" i="24"/>
  <c r="P141" i="24"/>
  <c r="AN140" i="24"/>
  <c r="Q140" i="24"/>
  <c r="R140" i="24" s="1"/>
  <c r="AN139" i="24"/>
  <c r="R139" i="24"/>
  <c r="AD138" i="24"/>
  <c r="AC138" i="24"/>
  <c r="AB138" i="24"/>
  <c r="AA138" i="24"/>
  <c r="Q138" i="24"/>
  <c r="Q141" i="24" s="1"/>
  <c r="AQ137" i="24"/>
  <c r="P136" i="24"/>
  <c r="N136" i="24"/>
  <c r="M136" i="24"/>
  <c r="L136" i="24"/>
  <c r="AN135" i="24"/>
  <c r="Q135" i="24"/>
  <c r="R135" i="24" s="1"/>
  <c r="AN134" i="24"/>
  <c r="Q134" i="24"/>
  <c r="R134" i="24" s="1"/>
  <c r="AN133" i="24"/>
  <c r="Q133" i="24"/>
  <c r="R133" i="24" s="1"/>
  <c r="AQ132" i="24"/>
  <c r="AQ131" i="24"/>
  <c r="AQ130" i="24"/>
  <c r="AQ129" i="24"/>
  <c r="AQ127" i="24"/>
  <c r="P126" i="24"/>
  <c r="AN125" i="24"/>
  <c r="Q125" i="24"/>
  <c r="R125" i="24" s="1"/>
  <c r="AN124" i="24"/>
  <c r="Q124" i="24"/>
  <c r="R124" i="24" s="1"/>
  <c r="AQ123" i="24"/>
  <c r="P122" i="24"/>
  <c r="AN121" i="24"/>
  <c r="Q121" i="24"/>
  <c r="R121" i="24" s="1"/>
  <c r="AN120" i="24"/>
  <c r="Q120" i="24"/>
  <c r="R120" i="24" s="1"/>
  <c r="AN119" i="24"/>
  <c r="Q119" i="24"/>
  <c r="R119" i="24" s="1"/>
  <c r="AN118" i="24"/>
  <c r="Q118" i="24"/>
  <c r="R118" i="24" s="1"/>
  <c r="AN117" i="24"/>
  <c r="Q117" i="24"/>
  <c r="R117" i="24" s="1"/>
  <c r="AN116" i="24"/>
  <c r="Q116" i="24"/>
  <c r="AQ115" i="24"/>
  <c r="P114" i="24"/>
  <c r="AN113" i="24"/>
  <c r="Q113" i="24"/>
  <c r="R113" i="24" s="1"/>
  <c r="AN112" i="24"/>
  <c r="Q112" i="24"/>
  <c r="R112" i="24" s="1"/>
  <c r="AN111" i="24"/>
  <c r="R111" i="24"/>
  <c r="AQ110" i="24"/>
  <c r="P109" i="24"/>
  <c r="AN108" i="24"/>
  <c r="Q108" i="24"/>
  <c r="R108" i="24" s="1"/>
  <c r="AN107" i="24"/>
  <c r="R107" i="24"/>
  <c r="AC106" i="24"/>
  <c r="AB106" i="24"/>
  <c r="AA106" i="24"/>
  <c r="R106" i="24"/>
  <c r="AQ105" i="24"/>
  <c r="P104" i="24"/>
  <c r="AN103" i="24"/>
  <c r="Q103" i="24"/>
  <c r="Q104" i="24" s="1"/>
  <c r="AN102" i="24"/>
  <c r="R102" i="24"/>
  <c r="AN101" i="24"/>
  <c r="R101" i="24"/>
  <c r="AQ100" i="24"/>
  <c r="AQ98" i="24"/>
  <c r="AQ96" i="24"/>
  <c r="Q95" i="24"/>
  <c r="P95" i="24"/>
  <c r="AN94" i="24"/>
  <c r="R94" i="24"/>
  <c r="AN93" i="24"/>
  <c r="R93" i="24"/>
  <c r="AN92" i="24"/>
  <c r="R92" i="24"/>
  <c r="AN91" i="24"/>
  <c r="R91" i="24"/>
  <c r="AN90" i="24"/>
  <c r="R90" i="24"/>
  <c r="AN89" i="24"/>
  <c r="R89" i="24"/>
  <c r="AN88" i="24"/>
  <c r="R88" i="24"/>
  <c r="AN87" i="24"/>
  <c r="R87" i="24"/>
  <c r="AN86" i="24"/>
  <c r="R86" i="24"/>
  <c r="AN85" i="24"/>
  <c r="R85" i="24"/>
  <c r="AN84" i="24"/>
  <c r="R84" i="24"/>
  <c r="AN83" i="24"/>
  <c r="R83" i="24"/>
  <c r="AN82" i="24"/>
  <c r="R82" i="24"/>
  <c r="AQ81" i="24"/>
  <c r="O80" i="24"/>
  <c r="AN79" i="24"/>
  <c r="Q79" i="24"/>
  <c r="R79" i="24" s="1"/>
  <c r="AN78" i="24"/>
  <c r="P78" i="24"/>
  <c r="M78" i="24"/>
  <c r="Q78" i="24" s="1"/>
  <c r="AN77" i="24"/>
  <c r="P77" i="24"/>
  <c r="M77" i="24"/>
  <c r="Q77" i="24" s="1"/>
  <c r="AN76" i="24"/>
  <c r="P76" i="24"/>
  <c r="M76" i="24"/>
  <c r="Q76" i="24" s="1"/>
  <c r="AN75" i="24"/>
  <c r="P75" i="24"/>
  <c r="M75" i="24"/>
  <c r="Q75" i="24" s="1"/>
  <c r="AN74" i="24"/>
  <c r="P74" i="24"/>
  <c r="M74" i="24"/>
  <c r="Q74" i="24" s="1"/>
  <c r="AN73" i="24"/>
  <c r="P73" i="24"/>
  <c r="M73" i="24"/>
  <c r="Q73" i="24" s="1"/>
  <c r="AN72" i="24"/>
  <c r="P72" i="24"/>
  <c r="M72" i="24"/>
  <c r="Q72" i="24" s="1"/>
  <c r="AN71" i="24"/>
  <c r="P71" i="24"/>
  <c r="M71" i="24"/>
  <c r="Q71" i="24" s="1"/>
  <c r="AN70" i="24"/>
  <c r="P70" i="24"/>
  <c r="M70" i="24"/>
  <c r="Q70" i="24" s="1"/>
  <c r="AN69" i="24"/>
  <c r="P69" i="24"/>
  <c r="M69" i="24"/>
  <c r="Q69" i="24" s="1"/>
  <c r="AN68" i="24"/>
  <c r="P68" i="24"/>
  <c r="M68" i="24"/>
  <c r="Q68" i="24" s="1"/>
  <c r="AN67" i="24"/>
  <c r="P67" i="24"/>
  <c r="M67" i="24"/>
  <c r="Q67" i="24" s="1"/>
  <c r="AN66" i="24"/>
  <c r="P66" i="24"/>
  <c r="M66" i="24"/>
  <c r="Q66" i="24" s="1"/>
  <c r="AN65" i="24"/>
  <c r="P65" i="24"/>
  <c r="M65" i="24"/>
  <c r="Q65" i="24" s="1"/>
  <c r="AN64" i="24"/>
  <c r="P64" i="24"/>
  <c r="M64" i="24"/>
  <c r="Q64" i="24" s="1"/>
  <c r="AN63" i="24"/>
  <c r="P63" i="24"/>
  <c r="M63" i="24"/>
  <c r="Q63" i="24" s="1"/>
  <c r="AN62" i="24"/>
  <c r="P62" i="24"/>
  <c r="M62" i="24"/>
  <c r="Q62" i="24" s="1"/>
  <c r="AQ61" i="24"/>
  <c r="P60" i="24"/>
  <c r="AN59" i="24"/>
  <c r="Q59" i="24"/>
  <c r="R59" i="24" s="1"/>
  <c r="AN58" i="24"/>
  <c r="Q58" i="24"/>
  <c r="R58" i="24" s="1"/>
  <c r="AN57" i="24"/>
  <c r="Q57" i="24"/>
  <c r="R57" i="24" s="1"/>
  <c r="AN56" i="24"/>
  <c r="Q56" i="24"/>
  <c r="R56" i="24" s="1"/>
  <c r="AN55" i="24"/>
  <c r="Q55" i="24"/>
  <c r="R55" i="24" s="1"/>
  <c r="AN54" i="24"/>
  <c r="Q54" i="24"/>
  <c r="R54" i="24" s="1"/>
  <c r="AN53" i="24"/>
  <c r="Q53" i="24"/>
  <c r="R53" i="24" s="1"/>
  <c r="AN52" i="24"/>
  <c r="Q52" i="24"/>
  <c r="R52" i="24" s="1"/>
  <c r="AN51" i="24"/>
  <c r="Q51" i="24"/>
  <c r="R51" i="24" s="1"/>
  <c r="AN50" i="24"/>
  <c r="Q50" i="24"/>
  <c r="R50" i="24" s="1"/>
  <c r="AQ49" i="24"/>
  <c r="P48" i="24"/>
  <c r="AN47" i="24"/>
  <c r="Q47" i="24"/>
  <c r="R47" i="24" s="1"/>
  <c r="AN46" i="24"/>
  <c r="Q46" i="24"/>
  <c r="AQ45" i="24"/>
  <c r="AQ44" i="24"/>
  <c r="AQ43" i="24"/>
  <c r="AQ42" i="24"/>
  <c r="AQ40" i="24"/>
  <c r="Q39" i="24"/>
  <c r="P39" i="24"/>
  <c r="I39" i="24"/>
  <c r="AN38" i="24"/>
  <c r="R38" i="24"/>
  <c r="O38" i="24" a="1"/>
  <c r="O38" i="24" s="1"/>
  <c r="AN37" i="24"/>
  <c r="R37" i="24"/>
  <c r="AQ36" i="24"/>
  <c r="Q35" i="24"/>
  <c r="P35" i="24"/>
  <c r="I35" i="24"/>
  <c r="AG34" i="24"/>
  <c r="AF34" i="24"/>
  <c r="AE34" i="24"/>
  <c r="AD34" i="24"/>
  <c r="AC34" i="24"/>
  <c r="R34" i="24"/>
  <c r="O34" i="24" a="1"/>
  <c r="O34" i="24" s="1"/>
  <c r="O35" i="24" s="1"/>
  <c r="AQ33" i="24"/>
  <c r="AN31" i="24"/>
  <c r="O31" i="24" a="1"/>
  <c r="O31" i="24" s="1"/>
  <c r="P31" i="24" s="1"/>
  <c r="Q31" i="24" s="1"/>
  <c r="R31" i="24" s="1"/>
  <c r="AN30" i="24"/>
  <c r="I30" i="24"/>
  <c r="O30" i="24" s="1" a="1"/>
  <c r="O30" i="24" s="1"/>
  <c r="P30" i="24" s="1"/>
  <c r="Q30" i="24" s="1"/>
  <c r="R30" i="24" s="1"/>
  <c r="AN29" i="24"/>
  <c r="I29" i="24"/>
  <c r="O29" i="24" s="1" a="1"/>
  <c r="O29" i="24" s="1"/>
  <c r="P29" i="24" s="1"/>
  <c r="Q29" i="24" s="1"/>
  <c r="R29" i="24" s="1"/>
  <c r="AN28" i="24"/>
  <c r="I28" i="24"/>
  <c r="O28" i="24" s="1" a="1"/>
  <c r="O28" i="24" s="1"/>
  <c r="P28" i="24" s="1"/>
  <c r="Q28" i="24" s="1"/>
  <c r="R28" i="24" s="1"/>
  <c r="AN27" i="24"/>
  <c r="I27" i="24"/>
  <c r="O27" i="24" s="1" a="1"/>
  <c r="O27" i="24" s="1"/>
  <c r="P27" i="24" s="1"/>
  <c r="Q27" i="24" s="1"/>
  <c r="R27" i="24" s="1"/>
  <c r="AN26" i="24"/>
  <c r="O26" i="24" a="1"/>
  <c r="O26" i="24" s="1"/>
  <c r="P26" i="24" s="1"/>
  <c r="Q26" i="24" s="1"/>
  <c r="R26" i="24" s="1"/>
  <c r="AN25" i="24"/>
  <c r="O25" i="24" a="1"/>
  <c r="O25" i="24" s="1"/>
  <c r="AN24" i="24"/>
  <c r="Q24" i="24"/>
  <c r="R24" i="24" s="1"/>
  <c r="O24" i="24" a="1"/>
  <c r="O24" i="24" s="1"/>
  <c r="AN23" i="24"/>
  <c r="O23" i="24" a="1"/>
  <c r="O23" i="24" s="1"/>
  <c r="AN22" i="24"/>
  <c r="O22" i="24" a="1"/>
  <c r="O22" i="24" s="1"/>
  <c r="AQ21" i="24"/>
  <c r="P20" i="24"/>
  <c r="AB19" i="24"/>
  <c r="AA19" i="24"/>
  <c r="Z19" i="24"/>
  <c r="Q19" i="24"/>
  <c r="R19" i="24" s="1"/>
  <c r="O19" i="24" a="1"/>
  <c r="O19" i="24" s="1"/>
  <c r="AB18" i="24"/>
  <c r="AA18" i="24"/>
  <c r="Z18" i="24"/>
  <c r="Q18" i="24"/>
  <c r="R18" i="24" s="1"/>
  <c r="I18" i="24"/>
  <c r="O18" i="24" s="1" a="1"/>
  <c r="O18" i="24" s="1"/>
  <c r="AB17" i="24"/>
  <c r="AA17" i="24"/>
  <c r="Z17" i="24"/>
  <c r="Q17" i="24"/>
  <c r="R17" i="24" s="1"/>
  <c r="I17" i="24"/>
  <c r="O17" i="24" s="1" a="1"/>
  <c r="O17" i="24" s="1"/>
  <c r="AB16" i="24"/>
  <c r="AA16" i="24"/>
  <c r="Z16" i="24"/>
  <c r="Q16" i="24"/>
  <c r="R16" i="24" s="1"/>
  <c r="I16" i="24"/>
  <c r="O16" i="24" s="1" a="1"/>
  <c r="O16" i="24" s="1"/>
  <c r="AB15" i="24"/>
  <c r="AA15" i="24"/>
  <c r="Z15" i="24"/>
  <c r="Q15" i="24"/>
  <c r="R15" i="24" s="1"/>
  <c r="I15" i="24"/>
  <c r="AB14" i="24"/>
  <c r="AA14" i="24"/>
  <c r="Z14" i="24"/>
  <c r="Q14" i="24"/>
  <c r="R14" i="24" s="1"/>
  <c r="O14" i="24" a="1"/>
  <c r="O14" i="24" s="1"/>
  <c r="AB13" i="24"/>
  <c r="AA13" i="24"/>
  <c r="Z13" i="24"/>
  <c r="Q13" i="24"/>
  <c r="R13" i="24" s="1"/>
  <c r="O13" i="24" a="1"/>
  <c r="O13" i="24" s="1"/>
  <c r="AB12" i="24"/>
  <c r="AA12" i="24"/>
  <c r="Z12" i="24"/>
  <c r="Q12" i="24"/>
  <c r="R12" i="24" s="1"/>
  <c r="O12" i="24" a="1"/>
  <c r="O12" i="24" s="1"/>
  <c r="AB11" i="24"/>
  <c r="AA11" i="24"/>
  <c r="Z11" i="24"/>
  <c r="U11" i="24"/>
  <c r="Q11" i="24"/>
  <c r="R11" i="24" s="1"/>
  <c r="O11" i="24" a="1"/>
  <c r="O11" i="24" s="1"/>
  <c r="AB10" i="24"/>
  <c r="AA10" i="24"/>
  <c r="Z10" i="24"/>
  <c r="Q10" i="24"/>
  <c r="R10" i="24" s="1"/>
  <c r="O10" i="24" a="1"/>
  <c r="O10" i="24" s="1"/>
  <c r="Z6" i="24"/>
  <c r="AA6" i="24" s="1"/>
  <c r="AB6" i="24" s="1"/>
  <c r="AC6" i="24" s="1"/>
  <c r="AD6" i="24" s="1"/>
  <c r="AE6" i="24" s="1"/>
  <c r="AF6" i="24" s="1"/>
  <c r="AG6" i="24" s="1"/>
  <c r="AH6" i="24" s="1"/>
  <c r="AI6" i="24" s="1"/>
  <c r="AJ6" i="24" s="1"/>
  <c r="AK6" i="24" s="1"/>
  <c r="AL6" i="24" s="1"/>
  <c r="U6" i="24"/>
  <c r="U4" i="24"/>
  <c r="AC13" i="25"/>
  <c r="AA13" i="25"/>
  <c r="Z13" i="25"/>
  <c r="Y13" i="25"/>
  <c r="X13" i="25"/>
  <c r="W13" i="25"/>
  <c r="V13" i="25"/>
  <c r="U13" i="25"/>
  <c r="T13" i="25"/>
  <c r="S13" i="25"/>
  <c r="R13" i="25"/>
  <c r="H4" i="25"/>
  <c r="I4" i="25" s="1"/>
  <c r="J4" i="25" s="1"/>
  <c r="K4" i="25" s="1"/>
  <c r="L4" i="25" s="1"/>
  <c r="M4" i="25" s="1"/>
  <c r="N4" i="25" s="1"/>
  <c r="O4" i="25" s="1"/>
  <c r="P4" i="25" s="1"/>
  <c r="Q4" i="25" s="1"/>
  <c r="R4" i="25" s="1"/>
  <c r="S4" i="25" s="1"/>
  <c r="T4" i="25" s="1"/>
  <c r="U4" i="25" s="1"/>
  <c r="V4" i="25" s="1"/>
  <c r="W4" i="25" s="1"/>
  <c r="X4" i="25" s="1"/>
  <c r="Y4" i="25" s="1"/>
  <c r="Z4" i="25" s="1"/>
  <c r="AA4" i="25" s="1"/>
  <c r="R93" i="14"/>
  <c r="N93" i="14"/>
  <c r="L93" i="14"/>
  <c r="J93" i="14"/>
  <c r="I93" i="14"/>
  <c r="D83" i="14"/>
  <c r="D73" i="14"/>
  <c r="D72" i="14"/>
  <c r="D71" i="14"/>
  <c r="D70" i="14"/>
  <c r="D69" i="14"/>
  <c r="R68" i="14"/>
  <c r="N68" i="14"/>
  <c r="L68" i="14"/>
  <c r="J68" i="14"/>
  <c r="I68" i="14"/>
  <c r="H68" i="14"/>
  <c r="D66" i="14"/>
  <c r="D65" i="14"/>
  <c r="D64" i="14"/>
  <c r="D63" i="14"/>
  <c r="D61" i="14"/>
  <c r="D60" i="14"/>
  <c r="D59" i="14"/>
  <c r="D57" i="14"/>
  <c r="D56" i="14"/>
  <c r="D55" i="14"/>
  <c r="D54" i="14"/>
  <c r="D53" i="14"/>
  <c r="AO18" i="4" s="1"/>
  <c r="AH8" i="4" s="1"/>
  <c r="AI8" i="4" s="1"/>
  <c r="D49" i="14"/>
  <c r="D46" i="14"/>
  <c r="D45" i="14"/>
  <c r="D44" i="14"/>
  <c r="D42" i="14"/>
  <c r="I9" i="14"/>
  <c r="E18" i="12" s="1"/>
  <c r="J7" i="14"/>
  <c r="R90" i="23"/>
  <c r="Q90" i="23"/>
  <c r="P90" i="23"/>
  <c r="O90" i="23"/>
  <c r="N90" i="23"/>
  <c r="M90" i="23"/>
  <c r="L90" i="23"/>
  <c r="K90" i="23"/>
  <c r="J90" i="23"/>
  <c r="I90" i="23"/>
  <c r="H90" i="23"/>
  <c r="G90" i="23"/>
  <c r="F90" i="23"/>
  <c r="R89" i="23"/>
  <c r="Q89" i="23"/>
  <c r="P89" i="23"/>
  <c r="O89" i="23"/>
  <c r="N89" i="23"/>
  <c r="M89" i="23"/>
  <c r="L89" i="23"/>
  <c r="K89" i="23"/>
  <c r="J89" i="23"/>
  <c r="I89" i="23"/>
  <c r="H89" i="23"/>
  <c r="G89" i="23"/>
  <c r="F89" i="23"/>
  <c r="R88" i="23"/>
  <c r="Q88" i="23"/>
  <c r="P88" i="23"/>
  <c r="O88" i="23"/>
  <c r="N88" i="23"/>
  <c r="M88" i="23"/>
  <c r="L88" i="23"/>
  <c r="K88" i="23"/>
  <c r="J88" i="23"/>
  <c r="I88" i="23"/>
  <c r="H88" i="23"/>
  <c r="G88" i="23"/>
  <c r="F88" i="23"/>
  <c r="R87" i="23"/>
  <c r="Q87" i="23"/>
  <c r="P87" i="23"/>
  <c r="O87" i="23"/>
  <c r="N87" i="23"/>
  <c r="M87" i="23"/>
  <c r="L87" i="23"/>
  <c r="K87" i="23"/>
  <c r="J87" i="23"/>
  <c r="I87" i="23"/>
  <c r="H87" i="23"/>
  <c r="G87" i="23"/>
  <c r="F87" i="23"/>
  <c r="R86" i="23"/>
  <c r="Q86" i="23"/>
  <c r="P86" i="23"/>
  <c r="O86" i="23"/>
  <c r="N86" i="23"/>
  <c r="M86" i="23"/>
  <c r="L86" i="23"/>
  <c r="K86" i="23"/>
  <c r="J86" i="23"/>
  <c r="I86" i="23"/>
  <c r="H86" i="23"/>
  <c r="G86" i="23"/>
  <c r="F86" i="23"/>
  <c r="R85" i="23"/>
  <c r="Q85" i="23"/>
  <c r="P85" i="23"/>
  <c r="O85" i="23"/>
  <c r="N85" i="23"/>
  <c r="M85" i="23"/>
  <c r="L85" i="23"/>
  <c r="K85" i="23"/>
  <c r="J85" i="23"/>
  <c r="I85" i="23"/>
  <c r="H85" i="23"/>
  <c r="G85" i="23"/>
  <c r="F85" i="23"/>
  <c r="R84" i="23"/>
  <c r="Q84" i="23"/>
  <c r="P84" i="23"/>
  <c r="O84" i="23"/>
  <c r="N84" i="23"/>
  <c r="M84" i="23"/>
  <c r="L84" i="23"/>
  <c r="K84" i="23"/>
  <c r="J84" i="23"/>
  <c r="I84" i="23"/>
  <c r="H84" i="23"/>
  <c r="G84" i="23"/>
  <c r="F84" i="23"/>
  <c r="R83" i="23"/>
  <c r="Q83" i="23"/>
  <c r="P83" i="23"/>
  <c r="O83" i="23"/>
  <c r="N83" i="23"/>
  <c r="M83" i="23"/>
  <c r="L83" i="23"/>
  <c r="K83" i="23"/>
  <c r="J83" i="23"/>
  <c r="I83" i="23"/>
  <c r="H83" i="23"/>
  <c r="G83" i="23"/>
  <c r="F83" i="23"/>
  <c r="R82" i="23"/>
  <c r="Q82" i="23"/>
  <c r="P82" i="23"/>
  <c r="O82" i="23"/>
  <c r="N82" i="23"/>
  <c r="M82" i="23"/>
  <c r="L82" i="23"/>
  <c r="K82" i="23"/>
  <c r="J82" i="23"/>
  <c r="I82" i="23"/>
  <c r="H82" i="23"/>
  <c r="G82" i="23"/>
  <c r="F82" i="23"/>
  <c r="R81" i="23"/>
  <c r="Q81" i="23"/>
  <c r="P81" i="23"/>
  <c r="O81" i="23"/>
  <c r="N81" i="23"/>
  <c r="M81" i="23"/>
  <c r="L81" i="23"/>
  <c r="K81" i="23"/>
  <c r="J81" i="23"/>
  <c r="I81" i="23"/>
  <c r="H81" i="23"/>
  <c r="G81" i="23"/>
  <c r="F81" i="23"/>
  <c r="R80" i="23"/>
  <c r="Q80" i="23"/>
  <c r="P80" i="23"/>
  <c r="O80" i="23"/>
  <c r="N80" i="23"/>
  <c r="M80" i="23"/>
  <c r="L80" i="23"/>
  <c r="K80" i="23"/>
  <c r="J80" i="23"/>
  <c r="I80" i="23"/>
  <c r="H80" i="23"/>
  <c r="G80" i="23"/>
  <c r="F80" i="23"/>
  <c r="R79" i="23"/>
  <c r="Q79" i="23"/>
  <c r="P79" i="23"/>
  <c r="O79" i="23"/>
  <c r="N79" i="23"/>
  <c r="M79" i="23"/>
  <c r="L79" i="23"/>
  <c r="K79" i="23"/>
  <c r="J79" i="23"/>
  <c r="I79" i="23"/>
  <c r="H79" i="23"/>
  <c r="G79" i="23"/>
  <c r="F79" i="23"/>
  <c r="R78" i="23"/>
  <c r="Q78" i="23"/>
  <c r="P78" i="23"/>
  <c r="O78" i="23"/>
  <c r="N78" i="23"/>
  <c r="M78" i="23"/>
  <c r="L78" i="23"/>
  <c r="K78" i="23"/>
  <c r="J78" i="23"/>
  <c r="I78" i="23"/>
  <c r="H78" i="23"/>
  <c r="G78" i="23"/>
  <c r="F78" i="23"/>
  <c r="R74" i="23"/>
  <c r="Q74" i="23"/>
  <c r="P74" i="23"/>
  <c r="O74" i="23"/>
  <c r="N74" i="23"/>
  <c r="M74" i="23"/>
  <c r="L74" i="23"/>
  <c r="K74" i="23"/>
  <c r="J74" i="23"/>
  <c r="I74" i="23"/>
  <c r="H74" i="23"/>
  <c r="G74" i="23"/>
  <c r="F74" i="23"/>
  <c r="E74" i="23"/>
  <c r="R73" i="23"/>
  <c r="Q73" i="23"/>
  <c r="P73" i="23"/>
  <c r="O73" i="23"/>
  <c r="N73" i="23"/>
  <c r="M73" i="23"/>
  <c r="L73" i="23"/>
  <c r="K73" i="23"/>
  <c r="J73" i="23"/>
  <c r="I73" i="23"/>
  <c r="H73" i="23"/>
  <c r="G73" i="23"/>
  <c r="F73" i="23"/>
  <c r="E73" i="23"/>
  <c r="R72" i="23"/>
  <c r="Q72" i="23"/>
  <c r="P72" i="23"/>
  <c r="O72" i="23"/>
  <c r="N72" i="23"/>
  <c r="M72" i="23"/>
  <c r="L72" i="23"/>
  <c r="K72" i="23"/>
  <c r="J72" i="23"/>
  <c r="I72" i="23"/>
  <c r="H72" i="23"/>
  <c r="G72" i="23"/>
  <c r="F72" i="23"/>
  <c r="E72" i="23"/>
  <c r="R71" i="23"/>
  <c r="Q71" i="23"/>
  <c r="P71" i="23"/>
  <c r="O71" i="23"/>
  <c r="N71" i="23"/>
  <c r="M71" i="23"/>
  <c r="L71" i="23"/>
  <c r="K71" i="23"/>
  <c r="J71" i="23"/>
  <c r="I71" i="23"/>
  <c r="H71" i="23"/>
  <c r="G71" i="23"/>
  <c r="F71" i="23"/>
  <c r="E71" i="23"/>
  <c r="R70" i="23"/>
  <c r="Q70" i="23"/>
  <c r="P70" i="23"/>
  <c r="O70" i="23"/>
  <c r="N70" i="23"/>
  <c r="M70" i="23"/>
  <c r="L70" i="23"/>
  <c r="K70" i="23"/>
  <c r="J70" i="23"/>
  <c r="I70" i="23"/>
  <c r="H70" i="23"/>
  <c r="G70" i="23"/>
  <c r="F70" i="23"/>
  <c r="E70" i="23"/>
  <c r="R69" i="23"/>
  <c r="Q69" i="23"/>
  <c r="P69" i="23"/>
  <c r="O69" i="23"/>
  <c r="N69" i="23"/>
  <c r="M69" i="23"/>
  <c r="L69" i="23"/>
  <c r="K69" i="23"/>
  <c r="J69" i="23"/>
  <c r="I69" i="23"/>
  <c r="H69" i="23"/>
  <c r="G69" i="23"/>
  <c r="F69" i="23"/>
  <c r="E69" i="23"/>
  <c r="R68" i="23"/>
  <c r="Q68" i="23"/>
  <c r="P68" i="23"/>
  <c r="O68" i="23"/>
  <c r="N68" i="23"/>
  <c r="M68" i="23"/>
  <c r="L68" i="23"/>
  <c r="K68" i="23"/>
  <c r="J68" i="23"/>
  <c r="I68" i="23"/>
  <c r="H68" i="23"/>
  <c r="G68" i="23"/>
  <c r="F68" i="23"/>
  <c r="E68" i="23"/>
  <c r="R67" i="23"/>
  <c r="Q67" i="23"/>
  <c r="P67" i="23"/>
  <c r="O67" i="23"/>
  <c r="N67" i="23"/>
  <c r="M67" i="23"/>
  <c r="L67" i="23"/>
  <c r="K67" i="23"/>
  <c r="J67" i="23"/>
  <c r="I67" i="23"/>
  <c r="H67" i="23"/>
  <c r="G67" i="23"/>
  <c r="F67" i="23"/>
  <c r="E67" i="23"/>
  <c r="R66" i="23"/>
  <c r="Q66" i="23"/>
  <c r="P66" i="23"/>
  <c r="O66" i="23"/>
  <c r="N66" i="23"/>
  <c r="M66" i="23"/>
  <c r="L66" i="23"/>
  <c r="K66" i="23"/>
  <c r="J66" i="23"/>
  <c r="I66" i="23"/>
  <c r="H66" i="23"/>
  <c r="G66" i="23"/>
  <c r="F66" i="23"/>
  <c r="E66" i="23"/>
  <c r="R65" i="23"/>
  <c r="Q65" i="23"/>
  <c r="P65" i="23"/>
  <c r="O65" i="23"/>
  <c r="N65" i="23"/>
  <c r="M65" i="23"/>
  <c r="L65" i="23"/>
  <c r="K65" i="23"/>
  <c r="J65" i="23"/>
  <c r="I65" i="23"/>
  <c r="H65" i="23"/>
  <c r="G65" i="23"/>
  <c r="F65" i="23"/>
  <c r="E65" i="23"/>
  <c r="R64" i="23"/>
  <c r="Q64" i="23"/>
  <c r="P64" i="23"/>
  <c r="O64" i="23"/>
  <c r="N64" i="23"/>
  <c r="M64" i="23"/>
  <c r="L64" i="23"/>
  <c r="K64" i="23"/>
  <c r="J64" i="23"/>
  <c r="I64" i="23"/>
  <c r="H64" i="23"/>
  <c r="G64" i="23"/>
  <c r="F64" i="23"/>
  <c r="E64" i="23"/>
  <c r="R63" i="23"/>
  <c r="Q63" i="23"/>
  <c r="P63" i="23"/>
  <c r="O63" i="23"/>
  <c r="N63" i="23"/>
  <c r="M63" i="23"/>
  <c r="L63" i="23"/>
  <c r="K63" i="23"/>
  <c r="J63" i="23"/>
  <c r="I63" i="23"/>
  <c r="H63" i="23"/>
  <c r="G63" i="23"/>
  <c r="F63" i="23"/>
  <c r="E63" i="23"/>
  <c r="R62" i="23"/>
  <c r="Q62" i="23"/>
  <c r="P62" i="23"/>
  <c r="O62" i="23"/>
  <c r="N62" i="23"/>
  <c r="M62" i="23"/>
  <c r="L62" i="23"/>
  <c r="K62" i="23"/>
  <c r="J62" i="23"/>
  <c r="I62" i="23"/>
  <c r="H62" i="23"/>
  <c r="G62" i="23"/>
  <c r="F62" i="23"/>
  <c r="E62" i="23"/>
  <c r="R58" i="23"/>
  <c r="Q58" i="23"/>
  <c r="P58" i="23"/>
  <c r="O58" i="23"/>
  <c r="N58" i="23"/>
  <c r="M58" i="23"/>
  <c r="L58" i="23"/>
  <c r="K58" i="23"/>
  <c r="J58" i="23"/>
  <c r="I58" i="23"/>
  <c r="H58" i="23"/>
  <c r="G58" i="23"/>
  <c r="F58" i="23"/>
  <c r="R57" i="23"/>
  <c r="Q57" i="23"/>
  <c r="P57" i="23"/>
  <c r="O57" i="23"/>
  <c r="N57" i="23"/>
  <c r="M57" i="23"/>
  <c r="L57" i="23"/>
  <c r="K57" i="23"/>
  <c r="J57" i="23"/>
  <c r="I57" i="23"/>
  <c r="H57" i="23"/>
  <c r="G57" i="23"/>
  <c r="F57" i="23"/>
  <c r="V44" i="23" a="1"/>
  <c r="V44" i="23" s="1"/>
  <c r="B27" i="23" s="1"/>
  <c r="C27" i="23" s="1"/>
  <c r="R56" i="23"/>
  <c r="Q56" i="23"/>
  <c r="P56" i="23"/>
  <c r="O56" i="23"/>
  <c r="N56" i="23"/>
  <c r="M56" i="23"/>
  <c r="L56" i="23"/>
  <c r="K56" i="23"/>
  <c r="J56" i="23"/>
  <c r="I56" i="23"/>
  <c r="H56" i="23"/>
  <c r="G56" i="23"/>
  <c r="F56" i="23"/>
  <c r="R55" i="23"/>
  <c r="Q55" i="23"/>
  <c r="P55" i="23"/>
  <c r="O55" i="23"/>
  <c r="N55" i="23"/>
  <c r="M55" i="23"/>
  <c r="L55" i="23"/>
  <c r="K55" i="23"/>
  <c r="J55" i="23"/>
  <c r="I55" i="23"/>
  <c r="H55" i="23"/>
  <c r="G55" i="23"/>
  <c r="F55" i="23"/>
  <c r="R54" i="23"/>
  <c r="Q54" i="23"/>
  <c r="P54" i="23"/>
  <c r="O54" i="23"/>
  <c r="N54" i="23"/>
  <c r="M54" i="23"/>
  <c r="L54" i="23"/>
  <c r="K54" i="23"/>
  <c r="J54" i="23"/>
  <c r="I54" i="23"/>
  <c r="H54" i="23"/>
  <c r="G54" i="23"/>
  <c r="F54" i="23"/>
  <c r="R53" i="23"/>
  <c r="Q53" i="23"/>
  <c r="P53" i="23"/>
  <c r="O53" i="23"/>
  <c r="N53" i="23"/>
  <c r="M53" i="23"/>
  <c r="L53" i="23"/>
  <c r="K53" i="23"/>
  <c r="J53" i="23"/>
  <c r="I53" i="23"/>
  <c r="H53" i="23"/>
  <c r="G53" i="23"/>
  <c r="F53" i="23"/>
  <c r="R52" i="23"/>
  <c r="Q52" i="23"/>
  <c r="P52" i="23"/>
  <c r="O52" i="23"/>
  <c r="N52" i="23"/>
  <c r="M52" i="23"/>
  <c r="L52" i="23"/>
  <c r="K52" i="23"/>
  <c r="J52" i="23"/>
  <c r="I52" i="23"/>
  <c r="H52" i="23"/>
  <c r="G52" i="23"/>
  <c r="F52" i="23"/>
  <c r="R51" i="23"/>
  <c r="Q51" i="23"/>
  <c r="P51" i="23"/>
  <c r="O51" i="23"/>
  <c r="N51" i="23"/>
  <c r="M51" i="23"/>
  <c r="L51" i="23"/>
  <c r="K51" i="23"/>
  <c r="J51" i="23"/>
  <c r="I51" i="23"/>
  <c r="H51" i="23"/>
  <c r="G51" i="23"/>
  <c r="F51" i="23"/>
  <c r="R50" i="23"/>
  <c r="Q50" i="23"/>
  <c r="P50" i="23"/>
  <c r="O50" i="23"/>
  <c r="N50" i="23"/>
  <c r="M50" i="23"/>
  <c r="L50" i="23"/>
  <c r="K50" i="23"/>
  <c r="J50" i="23"/>
  <c r="I50" i="23"/>
  <c r="H50" i="23"/>
  <c r="G50" i="23"/>
  <c r="F50" i="23"/>
  <c r="R49" i="23"/>
  <c r="Q49" i="23"/>
  <c r="P49" i="23"/>
  <c r="O49" i="23"/>
  <c r="N49" i="23"/>
  <c r="M49" i="23"/>
  <c r="L49" i="23"/>
  <c r="K49" i="23"/>
  <c r="J49" i="23"/>
  <c r="I49" i="23"/>
  <c r="H49" i="23"/>
  <c r="G49" i="23"/>
  <c r="F49" i="23"/>
  <c r="R48" i="23"/>
  <c r="Q48" i="23"/>
  <c r="P48" i="23"/>
  <c r="O48" i="23"/>
  <c r="N48" i="23"/>
  <c r="M48" i="23"/>
  <c r="L48" i="23"/>
  <c r="K48" i="23"/>
  <c r="J48" i="23"/>
  <c r="I48" i="23"/>
  <c r="H48" i="23"/>
  <c r="G48" i="23"/>
  <c r="F48" i="23"/>
  <c r="R47" i="23"/>
  <c r="Q47" i="23"/>
  <c r="P47" i="23"/>
  <c r="O47" i="23"/>
  <c r="N47" i="23"/>
  <c r="M47" i="23"/>
  <c r="L47" i="23"/>
  <c r="K47" i="23"/>
  <c r="J47" i="23"/>
  <c r="I47" i="23"/>
  <c r="H47" i="23"/>
  <c r="G47" i="23"/>
  <c r="F47" i="23"/>
  <c r="R46" i="23"/>
  <c r="Q46" i="23"/>
  <c r="P46" i="23"/>
  <c r="O46" i="23"/>
  <c r="N46" i="23"/>
  <c r="M46" i="23"/>
  <c r="L46" i="23"/>
  <c r="K46" i="23"/>
  <c r="J46" i="23"/>
  <c r="I46" i="23"/>
  <c r="H46" i="23"/>
  <c r="G46" i="23"/>
  <c r="F46" i="23"/>
  <c r="AC33" i="23" a="1"/>
  <c r="AC33" i="23" s="1"/>
  <c r="AB33" i="23" a="1"/>
  <c r="AB33" i="23" s="1"/>
  <c r="V33" i="23" a="1"/>
  <c r="V33" i="23" s="1"/>
  <c r="R45" i="23"/>
  <c r="Q45" i="23"/>
  <c r="P45" i="23"/>
  <c r="O45" i="23"/>
  <c r="N45" i="23"/>
  <c r="M45" i="23"/>
  <c r="L45" i="23"/>
  <c r="K45" i="23"/>
  <c r="J45" i="23"/>
  <c r="I45" i="23"/>
  <c r="H45" i="23"/>
  <c r="G45" i="23"/>
  <c r="F45" i="23"/>
  <c r="AC32" i="23" a="1"/>
  <c r="AC32" i="23" s="1"/>
  <c r="AB32" i="23" a="1"/>
  <c r="AB32" i="23" s="1"/>
  <c r="V32" i="23" a="1"/>
  <c r="V32" i="23" s="1"/>
  <c r="BB30" i="23"/>
  <c r="BA30" i="23"/>
  <c r="AZ30" i="23"/>
  <c r="AY30" i="23"/>
  <c r="AX30" i="23"/>
  <c r="AW30" i="23"/>
  <c r="AV30" i="23"/>
  <c r="AU30" i="23"/>
  <c r="AT30" i="23"/>
  <c r="AS30" i="23"/>
  <c r="AR30" i="23"/>
  <c r="AQ30" i="23"/>
  <c r="AP30" i="23"/>
  <c r="AO30" i="23"/>
  <c r="BB29" i="23"/>
  <c r="BA29" i="23"/>
  <c r="AZ29" i="23"/>
  <c r="AY29" i="23"/>
  <c r="AX29" i="23"/>
  <c r="AW29" i="23"/>
  <c r="AV29" i="23"/>
  <c r="AU29" i="23"/>
  <c r="AT29" i="23"/>
  <c r="AS29" i="23"/>
  <c r="AR29" i="23"/>
  <c r="AQ29" i="23"/>
  <c r="AP29" i="23"/>
  <c r="AO29" i="23"/>
  <c r="BB28" i="23"/>
  <c r="BA28" i="23"/>
  <c r="AZ28" i="23"/>
  <c r="AY28" i="23"/>
  <c r="AX28" i="23"/>
  <c r="AW28" i="23"/>
  <c r="AV28" i="23"/>
  <c r="AU28" i="23"/>
  <c r="AT28" i="23"/>
  <c r="AS28" i="23"/>
  <c r="AR28" i="23"/>
  <c r="AQ28" i="23"/>
  <c r="AP28" i="23"/>
  <c r="AO28" i="23"/>
  <c r="BB27" i="23"/>
  <c r="BA27" i="23"/>
  <c r="AZ27" i="23"/>
  <c r="AY27" i="23"/>
  <c r="AX27" i="23"/>
  <c r="AW27" i="23"/>
  <c r="AV27" i="23"/>
  <c r="AU27" i="23"/>
  <c r="AT27" i="23"/>
  <c r="AS27" i="23"/>
  <c r="AR27" i="23"/>
  <c r="AQ27" i="23"/>
  <c r="AP27" i="23"/>
  <c r="AO27" i="23"/>
  <c r="BB26" i="23"/>
  <c r="BA26" i="23"/>
  <c r="AZ26" i="23"/>
  <c r="AY26" i="23"/>
  <c r="AX26" i="23"/>
  <c r="AW26" i="23"/>
  <c r="AV26" i="23"/>
  <c r="AU26" i="23"/>
  <c r="AT26" i="23"/>
  <c r="AS26" i="23"/>
  <c r="AR26" i="23"/>
  <c r="AQ26" i="23"/>
  <c r="AP26" i="23"/>
  <c r="AO26" i="23"/>
  <c r="BB25" i="23"/>
  <c r="BA25" i="23"/>
  <c r="AZ25" i="23"/>
  <c r="AY25" i="23"/>
  <c r="AX25" i="23"/>
  <c r="AW25" i="23"/>
  <c r="AV25" i="23"/>
  <c r="AU25" i="23"/>
  <c r="AT25" i="23"/>
  <c r="AS25" i="23"/>
  <c r="AR25" i="23"/>
  <c r="AQ25" i="23"/>
  <c r="AP25" i="23"/>
  <c r="AO25" i="23"/>
  <c r="BB24" i="23"/>
  <c r="BA24" i="23"/>
  <c r="AZ24" i="23"/>
  <c r="AY24" i="23"/>
  <c r="AX24" i="23"/>
  <c r="AW24" i="23"/>
  <c r="AV24" i="23"/>
  <c r="AU24" i="23"/>
  <c r="AT24" i="23"/>
  <c r="AS24" i="23"/>
  <c r="AR24" i="23"/>
  <c r="AQ24" i="23"/>
  <c r="AP24" i="23"/>
  <c r="AO24" i="23"/>
  <c r="BB23" i="23"/>
  <c r="BA23" i="23"/>
  <c r="AZ23" i="23"/>
  <c r="AY23" i="23"/>
  <c r="AX23" i="23"/>
  <c r="AW23" i="23"/>
  <c r="AV23" i="23"/>
  <c r="AU23" i="23"/>
  <c r="AT23" i="23"/>
  <c r="AS23" i="23"/>
  <c r="AR23" i="23"/>
  <c r="AQ23" i="23"/>
  <c r="AP23" i="23"/>
  <c r="AO23" i="23"/>
  <c r="BB22" i="23"/>
  <c r="BA22" i="23"/>
  <c r="AZ22" i="23"/>
  <c r="AY22" i="23"/>
  <c r="AX22" i="23"/>
  <c r="AW22" i="23"/>
  <c r="AV22" i="23"/>
  <c r="AU22" i="23"/>
  <c r="AT22" i="23"/>
  <c r="AS22" i="23"/>
  <c r="AR22" i="23"/>
  <c r="AQ22" i="23"/>
  <c r="AP22" i="23"/>
  <c r="AO22" i="23"/>
  <c r="BB21" i="23"/>
  <c r="BA21" i="23"/>
  <c r="AZ21" i="23"/>
  <c r="AY21" i="23"/>
  <c r="AX21" i="23"/>
  <c r="AW21" i="23"/>
  <c r="AV21" i="23"/>
  <c r="AU21" i="23"/>
  <c r="AT21" i="23"/>
  <c r="AS21" i="23"/>
  <c r="AR21" i="23"/>
  <c r="AQ21" i="23"/>
  <c r="AP21" i="23"/>
  <c r="AO21" i="23"/>
  <c r="BB20" i="23"/>
  <c r="BA20" i="23"/>
  <c r="AZ20" i="23"/>
  <c r="AY20" i="23"/>
  <c r="AX20" i="23"/>
  <c r="AW20" i="23"/>
  <c r="AV20" i="23"/>
  <c r="AU20" i="23"/>
  <c r="AT20" i="23"/>
  <c r="AS20" i="23"/>
  <c r="AR20" i="23"/>
  <c r="AQ20" i="23"/>
  <c r="AP20" i="23"/>
  <c r="AO20" i="23"/>
  <c r="BB19" i="23"/>
  <c r="BA19" i="23"/>
  <c r="AZ19" i="23"/>
  <c r="AY19" i="23"/>
  <c r="AX19" i="23"/>
  <c r="AW19" i="23"/>
  <c r="AV19" i="23"/>
  <c r="AU19" i="23"/>
  <c r="AT19" i="23"/>
  <c r="AS19" i="23"/>
  <c r="AR19" i="23"/>
  <c r="AQ19" i="23"/>
  <c r="AP19" i="23"/>
  <c r="AO19" i="23"/>
  <c r="BB18" i="23"/>
  <c r="BA18" i="23"/>
  <c r="AZ18" i="23"/>
  <c r="AY18" i="23"/>
  <c r="AX18" i="23"/>
  <c r="AW18" i="23"/>
  <c r="AV18" i="23"/>
  <c r="AU18" i="23"/>
  <c r="AT18" i="23"/>
  <c r="AS18" i="23"/>
  <c r="AR18" i="23"/>
  <c r="AQ18" i="23"/>
  <c r="AP18" i="23"/>
  <c r="AO18" i="23"/>
  <c r="BB17" i="23"/>
  <c r="BA17" i="23"/>
  <c r="AZ17" i="23"/>
  <c r="AY17" i="23"/>
  <c r="AX17" i="23"/>
  <c r="AW17" i="23"/>
  <c r="AV17" i="23"/>
  <c r="AU17" i="23"/>
  <c r="AT17" i="23"/>
  <c r="AS17" i="23"/>
  <c r="AR17" i="23"/>
  <c r="AQ17" i="23"/>
  <c r="AP17" i="23"/>
  <c r="AO17" i="23"/>
  <c r="K28" i="12"/>
  <c r="I20" i="12"/>
  <c r="I21" i="12" s="1"/>
  <c r="I22" i="12" s="1"/>
  <c r="I23" i="12" s="1"/>
  <c r="I24" i="12" s="1"/>
  <c r="I25" i="12" s="1"/>
  <c r="I26" i="12" s="1"/>
  <c r="I27" i="12" s="1"/>
  <c r="I28" i="12" s="1"/>
  <c r="I32" i="12" s="1"/>
  <c r="AB12" i="12" a="1"/>
  <c r="AB12" i="12" s="1"/>
  <c r="Z12" i="12" a="1"/>
  <c r="Z12" i="12" s="1"/>
  <c r="X12" i="12" a="1"/>
  <c r="X12" i="12" s="1"/>
  <c r="V12" i="12" a="1"/>
  <c r="V12" i="12" s="1"/>
  <c r="T12" i="12" a="1"/>
  <c r="T12" i="12" s="1"/>
  <c r="S12" i="12" a="1"/>
  <c r="S12" i="12" s="1"/>
  <c r="E5" i="36" s="1"/>
  <c r="R12" i="12" a="1"/>
  <c r="R12" i="12" s="1"/>
  <c r="O12" i="12" a="1"/>
  <c r="O12" i="12" s="1"/>
  <c r="K12" i="12" a="1"/>
  <c r="K12" i="12" s="1"/>
  <c r="I12" i="12" a="1"/>
  <c r="I12" i="12" s="1"/>
  <c r="R11" i="23" a="1"/>
  <c r="D13" i="23" a="1"/>
  <c r="C47" i="6" l="1"/>
  <c r="C48" i="6" s="1"/>
  <c r="F48" i="6" s="1"/>
  <c r="X18" i="23"/>
  <c r="S84" i="14"/>
  <c r="X28" i="23"/>
  <c r="D74" i="14" s="1" a="1"/>
  <c r="D74" i="14" s="1"/>
  <c r="AN19" i="24"/>
  <c r="AN16" i="24"/>
  <c r="I20" i="24"/>
  <c r="G7" i="23"/>
  <c r="D6" i="35"/>
  <c r="E6" i="36"/>
  <c r="F3" i="35"/>
  <c r="G3" i="36"/>
  <c r="I4" i="23"/>
  <c r="I5" i="23"/>
  <c r="G4" i="36"/>
  <c r="F4" i="35"/>
  <c r="I6" i="23"/>
  <c r="G5" i="36"/>
  <c r="F5" i="35"/>
  <c r="F6" i="35"/>
  <c r="I7" i="23"/>
  <c r="G6" i="36"/>
  <c r="AN14" i="24"/>
  <c r="D4" i="35"/>
  <c r="G5" i="23"/>
  <c r="E4" i="36"/>
  <c r="X15" i="23"/>
  <c r="D20" i="14" s="1"/>
  <c r="D93" i="14"/>
  <c r="G4" i="23"/>
  <c r="E3" i="36"/>
  <c r="D3" i="35"/>
  <c r="E5" i="23"/>
  <c r="B4" i="35"/>
  <c r="C4" i="36"/>
  <c r="C3" i="36"/>
  <c r="B3" i="35"/>
  <c r="E4" i="23"/>
  <c r="E6" i="23"/>
  <c r="B5" i="35"/>
  <c r="C5" i="36"/>
  <c r="D5" i="35"/>
  <c r="G6" i="23"/>
  <c r="AL9" i="23"/>
  <c r="B12" i="23" s="1"/>
  <c r="D29" i="35"/>
  <c r="C29" i="35" s="1"/>
  <c r="F4" i="12"/>
  <c r="D28" i="35"/>
  <c r="C28" i="35" s="1"/>
  <c r="F3" i="12"/>
  <c r="D21" i="35"/>
  <c r="C21" i="35" s="1"/>
  <c r="B4" i="12"/>
  <c r="D30" i="35"/>
  <c r="C30" i="35" s="1"/>
  <c r="F5" i="12"/>
  <c r="D31" i="35"/>
  <c r="C31" i="35" s="1"/>
  <c r="F6" i="12"/>
  <c r="D22" i="35"/>
  <c r="C22" i="35" s="1"/>
  <c r="B5" i="12"/>
  <c r="D27" i="35"/>
  <c r="C27" i="35" s="1"/>
  <c r="D6" i="12"/>
  <c r="D25" i="35"/>
  <c r="C25" i="35" s="1"/>
  <c r="D4" i="12"/>
  <c r="D24" i="35"/>
  <c r="C24" i="35" s="1"/>
  <c r="D3" i="12"/>
  <c r="D26" i="35"/>
  <c r="C26" i="35" s="1"/>
  <c r="D5" i="12"/>
  <c r="D20" i="35"/>
  <c r="C20" i="35" s="1"/>
  <c r="B3" i="12"/>
  <c r="T70" i="11"/>
  <c r="T65" i="11"/>
  <c r="T47" i="11"/>
  <c r="AN12" i="24"/>
  <c r="AN138" i="24"/>
  <c r="AN233" i="24"/>
  <c r="AN13" i="24"/>
  <c r="AN18" i="24"/>
  <c r="AN34" i="24"/>
  <c r="AN106" i="24"/>
  <c r="AN10" i="24"/>
  <c r="R70" i="24"/>
  <c r="O15" i="24" a="1"/>
  <c r="O15" i="24" s="1"/>
  <c r="O20" i="24" s="1"/>
  <c r="AN15" i="24"/>
  <c r="AN17" i="24"/>
  <c r="AN234" i="24"/>
  <c r="AN11" i="24"/>
  <c r="AO11" i="24" s="1"/>
  <c r="AP11" i="24" s="1"/>
  <c r="AQ11" i="24" s="1"/>
  <c r="AN240" i="24"/>
  <c r="AN241" i="24"/>
  <c r="R65" i="24"/>
  <c r="AN232" i="24"/>
  <c r="AN239" i="24"/>
  <c r="O25" i="4"/>
  <c r="I32" i="24"/>
  <c r="R95" i="24"/>
  <c r="Q216" i="24"/>
  <c r="R216" i="24" s="1"/>
  <c r="R66" i="24"/>
  <c r="R74" i="24"/>
  <c r="R141" i="24"/>
  <c r="R69" i="24"/>
  <c r="R77" i="24"/>
  <c r="R71" i="24"/>
  <c r="R75" i="24"/>
  <c r="R78" i="24"/>
  <c r="R76" i="24"/>
  <c r="R138" i="24"/>
  <c r="R35" i="24"/>
  <c r="R190" i="24"/>
  <c r="R189" i="24"/>
  <c r="R67" i="24"/>
  <c r="Q200" i="24"/>
  <c r="R200" i="24" s="1"/>
  <c r="R242" i="24"/>
  <c r="AN210" i="24"/>
  <c r="Q187" i="24"/>
  <c r="R187" i="24" s="1"/>
  <c r="R73" i="24"/>
  <c r="R103" i="24"/>
  <c r="P192" i="24"/>
  <c r="R62" i="24"/>
  <c r="P128" i="24"/>
  <c r="Q136" i="24"/>
  <c r="R136" i="24" s="1"/>
  <c r="R150" i="24"/>
  <c r="R227" i="24"/>
  <c r="R72" i="24"/>
  <c r="R154" i="24"/>
  <c r="AN204" i="24"/>
  <c r="AO204" i="24" s="1"/>
  <c r="R210" i="24"/>
  <c r="AN218" i="24"/>
  <c r="AN222" i="24"/>
  <c r="Q48" i="24"/>
  <c r="R48" i="24" s="1"/>
  <c r="Q163" i="24"/>
  <c r="R163" i="24" s="1"/>
  <c r="Q171" i="24"/>
  <c r="R171" i="24" s="1"/>
  <c r="AN196" i="24"/>
  <c r="AP196" i="24" s="1"/>
  <c r="AQ196" i="24" s="1"/>
  <c r="AN205" i="24"/>
  <c r="AN219" i="24"/>
  <c r="AN223" i="24"/>
  <c r="R240" i="24"/>
  <c r="R46" i="24"/>
  <c r="AN197" i="24"/>
  <c r="AO197" i="24" s="1"/>
  <c r="AN202" i="24"/>
  <c r="AO202" i="24" s="1"/>
  <c r="R224" i="24"/>
  <c r="AN214" i="24"/>
  <c r="R63" i="24"/>
  <c r="Q122" i="24"/>
  <c r="R122" i="24" s="1"/>
  <c r="AN206" i="24"/>
  <c r="AO206" i="24" s="1"/>
  <c r="AN211" i="24"/>
  <c r="AN220" i="24"/>
  <c r="P80" i="24"/>
  <c r="P97" i="24" s="1"/>
  <c r="AN198" i="24"/>
  <c r="AP198" i="24" s="1"/>
  <c r="AQ198" i="24" s="1"/>
  <c r="AN207" i="24"/>
  <c r="AP207" i="24" s="1"/>
  <c r="AQ207" i="24" s="1"/>
  <c r="AN215" i="24"/>
  <c r="P229" i="24"/>
  <c r="R64" i="24"/>
  <c r="AN203" i="24"/>
  <c r="AP203" i="24" s="1"/>
  <c r="AQ203" i="24" s="1"/>
  <c r="AN212" i="24"/>
  <c r="AN221" i="24"/>
  <c r="AN226" i="24"/>
  <c r="R68" i="24"/>
  <c r="P156" i="24"/>
  <c r="AN199" i="24"/>
  <c r="AN213" i="24"/>
  <c r="X23" i="23"/>
  <c r="O32" i="24"/>
  <c r="P84" i="14"/>
  <c r="K84" i="14"/>
  <c r="J9" i="14"/>
  <c r="E19" i="12" s="1"/>
  <c r="K7" i="14"/>
  <c r="K9" i="14" s="1"/>
  <c r="Q84" i="14"/>
  <c r="M84" i="14"/>
  <c r="C3" i="4"/>
  <c r="D3" i="4" s="1"/>
  <c r="E3" i="4" s="1"/>
  <c r="O84" i="14"/>
  <c r="B10" i="23"/>
  <c r="X27" i="23"/>
  <c r="Q25" i="11"/>
  <c r="R10" i="23"/>
  <c r="X24" i="23"/>
  <c r="X26" i="23"/>
  <c r="X20" i="23"/>
  <c r="X16" i="23"/>
  <c r="X19" i="23"/>
  <c r="X22" i="23"/>
  <c r="D11" i="14" s="1"/>
  <c r="X25" i="23"/>
  <c r="X17" i="23"/>
  <c r="R104" i="24"/>
  <c r="Q23" i="24"/>
  <c r="P23" i="24"/>
  <c r="Q22" i="24"/>
  <c r="O39" i="24"/>
  <c r="P22" i="24"/>
  <c r="P25" i="24"/>
  <c r="Q25" i="24"/>
  <c r="Q208" i="24"/>
  <c r="R208" i="24" s="1"/>
  <c r="Q235" i="24"/>
  <c r="R235" i="24" s="1"/>
  <c r="Q60" i="24"/>
  <c r="R60" i="24" s="1"/>
  <c r="Q20" i="24"/>
  <c r="R20" i="24" s="1"/>
  <c r="R39" i="24"/>
  <c r="Q80" i="24"/>
  <c r="Q109" i="24"/>
  <c r="R109" i="24" s="1"/>
  <c r="Q114" i="24"/>
  <c r="R114" i="24" s="1"/>
  <c r="R116" i="24"/>
  <c r="Q126" i="24"/>
  <c r="R126" i="24" s="1"/>
  <c r="Q146" i="24"/>
  <c r="R146" i="24" s="1"/>
  <c r="R159" i="24"/>
  <c r="R165" i="24"/>
  <c r="Q179" i="24"/>
  <c r="R179" i="24" s="1"/>
  <c r="R181" i="24"/>
  <c r="J84" i="14"/>
  <c r="N84" i="14"/>
  <c r="S93" i="6"/>
  <c r="R11" i="23"/>
  <c r="R28" i="23" s="1"/>
  <c r="D13" i="23"/>
  <c r="D30" i="23" s="1"/>
  <c r="AQ231" i="24"/>
  <c r="AQ99" i="24"/>
  <c r="AQ158" i="24"/>
  <c r="L84" i="14"/>
  <c r="U34" i="7"/>
  <c r="V34" i="7" s="1"/>
  <c r="I84" i="14"/>
  <c r="R84" i="14"/>
  <c r="S107" i="6"/>
  <c r="S105" i="6"/>
  <c r="S104" i="6"/>
  <c r="S100" i="6"/>
  <c r="S96" i="6"/>
  <c r="S92" i="6"/>
  <c r="S88" i="6"/>
  <c r="S83" i="6"/>
  <c r="S108" i="6"/>
  <c r="S103" i="6"/>
  <c r="S99" i="6"/>
  <c r="S95" i="6"/>
  <c r="S106" i="6"/>
  <c r="S102" i="6"/>
  <c r="S98" i="6"/>
  <c r="S94" i="6"/>
  <c r="S90" i="6"/>
  <c r="S86" i="6"/>
  <c r="S101" i="6"/>
  <c r="S87" i="6"/>
  <c r="S97" i="6"/>
  <c r="S85" i="6"/>
  <c r="S84" i="6"/>
  <c r="G11" i="23" a="1"/>
  <c r="D24" i="23" a="1"/>
  <c r="D23" i="23" a="1"/>
  <c r="D12" i="23" a="1"/>
  <c r="K11" i="23" a="1"/>
  <c r="P11" i="23" a="1"/>
  <c r="D15" i="23" a="1"/>
  <c r="D16" i="23" a="1"/>
  <c r="H11" i="23" a="1"/>
  <c r="D25" i="23" a="1"/>
  <c r="F11" i="23" a="1"/>
  <c r="O11" i="23" a="1"/>
  <c r="D19" i="23" a="1"/>
  <c r="D14" i="23" a="1"/>
  <c r="L11" i="23" a="1"/>
  <c r="Q11" i="23" a="1"/>
  <c r="D21" i="23" a="1"/>
  <c r="E11" i="23" a="1"/>
  <c r="M11" i="23" a="1"/>
  <c r="D22" i="23" a="1"/>
  <c r="D20" i="23" a="1"/>
  <c r="I11" i="23" a="1"/>
  <c r="N11" i="23" a="1"/>
  <c r="D18" i="23" a="1"/>
  <c r="D17" i="23" a="1"/>
  <c r="J11" i="23" a="1"/>
  <c r="X6" i="4" l="1"/>
  <c r="D21" i="14"/>
  <c r="D23" i="14" s="1"/>
  <c r="S9" i="45"/>
  <c r="W22" i="23"/>
  <c r="S75" i="14"/>
  <c r="S15" i="45"/>
  <c r="AM16" i="23"/>
  <c r="B29" i="23"/>
  <c r="C30" i="23" s="1"/>
  <c r="AO15" i="23"/>
  <c r="R27" i="23"/>
  <c r="L75" i="14"/>
  <c r="M75" i="14"/>
  <c r="C2" i="4"/>
  <c r="D2" i="4" s="1"/>
  <c r="J75" i="14"/>
  <c r="K75" i="14"/>
  <c r="Q75" i="14"/>
  <c r="R75" i="14"/>
  <c r="N75" i="14"/>
  <c r="I75" i="14"/>
  <c r="P75" i="14"/>
  <c r="O75" i="14"/>
  <c r="W28" i="23"/>
  <c r="H11" i="23"/>
  <c r="AR16" i="23" s="1"/>
  <c r="J11" i="23"/>
  <c r="J28" i="23" s="1"/>
  <c r="I11" i="23"/>
  <c r="S23" i="45"/>
  <c r="Q11" i="23"/>
  <c r="P11" i="23"/>
  <c r="P245" i="24"/>
  <c r="W15" i="23"/>
  <c r="D28" i="14"/>
  <c r="D33" i="14"/>
  <c r="D47" i="14" a="1"/>
  <c r="D47" i="14" s="1"/>
  <c r="W26" i="23" s="1"/>
  <c r="D36" i="14"/>
  <c r="D43" i="14"/>
  <c r="W24" i="23" s="1"/>
  <c r="D25" i="14"/>
  <c r="W19" i="23" s="1"/>
  <c r="D48" i="14" a="1"/>
  <c r="D48" i="14" s="1"/>
  <c r="W27" i="23" s="1"/>
  <c r="T25" i="11"/>
  <c r="T28" i="11" s="1"/>
  <c r="T52" i="11" s="1"/>
  <c r="D84" i="14"/>
  <c r="D21" i="23"/>
  <c r="AP197" i="24"/>
  <c r="AQ197" i="24" s="1"/>
  <c r="AO207" i="24"/>
  <c r="K11" i="23"/>
  <c r="D25" i="23"/>
  <c r="L11" i="23"/>
  <c r="D12" i="23"/>
  <c r="G11" i="23"/>
  <c r="D16" i="23"/>
  <c r="E11" i="23"/>
  <c r="D23" i="23"/>
  <c r="D18" i="23"/>
  <c r="D20" i="23"/>
  <c r="F11" i="23"/>
  <c r="D24" i="23"/>
  <c r="C31" i="6"/>
  <c r="C30" i="6"/>
  <c r="F30" i="6" s="1"/>
  <c r="D17" i="23"/>
  <c r="M11" i="23"/>
  <c r="O11" i="23"/>
  <c r="D19" i="23"/>
  <c r="D22" i="23"/>
  <c r="D15" i="23"/>
  <c r="N11" i="23"/>
  <c r="D14" i="23"/>
  <c r="AP206" i="24"/>
  <c r="AQ206" i="24" s="1"/>
  <c r="AP202" i="24"/>
  <c r="AQ202" i="24" s="1"/>
  <c r="AO198" i="24"/>
  <c r="AP204" i="24"/>
  <c r="AQ204" i="24" s="1"/>
  <c r="AO196" i="24"/>
  <c r="AO203" i="24"/>
  <c r="R80" i="24"/>
  <c r="D34" i="14"/>
  <c r="L7" i="14"/>
  <c r="F3" i="4"/>
  <c r="S57" i="24"/>
  <c r="U57" i="24" s="1"/>
  <c r="AP57" i="24" s="1"/>
  <c r="AQ57" i="24" s="1"/>
  <c r="C10" i="23"/>
  <c r="AM14" i="23"/>
  <c r="C13" i="23"/>
  <c r="S181" i="24"/>
  <c r="U181" i="24" s="1"/>
  <c r="AO181" i="24" s="1"/>
  <c r="S69" i="24"/>
  <c r="U69" i="24" s="1"/>
  <c r="AP69" i="24" s="1"/>
  <c r="AQ69" i="24" s="1"/>
  <c r="S74" i="24"/>
  <c r="U74" i="24" s="1"/>
  <c r="AP74" i="24" s="1"/>
  <c r="AQ74" i="24" s="1"/>
  <c r="S205" i="24"/>
  <c r="U205" i="24" s="1"/>
  <c r="N148" i="11"/>
  <c r="R148" i="11" s="1"/>
  <c r="S148" i="11" s="1"/>
  <c r="S72" i="24"/>
  <c r="U72" i="24" s="1"/>
  <c r="AP72" i="24" s="1"/>
  <c r="AQ72" i="24" s="1"/>
  <c r="N151" i="11"/>
  <c r="R151" i="11" s="1"/>
  <c r="S151" i="11" s="1"/>
  <c r="S6" i="24"/>
  <c r="S144" i="24"/>
  <c r="U144" i="24" s="1"/>
  <c r="AP144" i="24" s="1"/>
  <c r="AQ144" i="24" s="1"/>
  <c r="S140" i="24"/>
  <c r="U140" i="24" s="1"/>
  <c r="AP140" i="24" s="1"/>
  <c r="AQ140" i="24" s="1"/>
  <c r="S17" i="24"/>
  <c r="U17" i="24" s="1"/>
  <c r="AO17" i="24" s="1"/>
  <c r="AP17" i="24" s="1"/>
  <c r="AQ17" i="24" s="1"/>
  <c r="S149" i="24"/>
  <c r="U149" i="24" s="1"/>
  <c r="AP149" i="24" s="1"/>
  <c r="AQ149" i="24" s="1"/>
  <c r="S233" i="24"/>
  <c r="U233" i="24" s="1"/>
  <c r="AO233" i="24" s="1"/>
  <c r="AP233" i="24" s="1"/>
  <c r="AQ233" i="24" s="1"/>
  <c r="S120" i="24"/>
  <c r="U120" i="24" s="1"/>
  <c r="AO120" i="24" s="1"/>
  <c r="AP120" i="24" s="1"/>
  <c r="AQ120" i="24" s="1"/>
  <c r="S67" i="24"/>
  <c r="U67" i="24" s="1"/>
  <c r="AP67" i="24" s="1"/>
  <c r="AQ67" i="24" s="1"/>
  <c r="S139" i="24"/>
  <c r="U139" i="24" s="1"/>
  <c r="AP139" i="24" s="1"/>
  <c r="AQ139" i="24" s="1"/>
  <c r="S118" i="24"/>
  <c r="U118" i="24" s="1"/>
  <c r="AO118" i="24" s="1"/>
  <c r="AP118" i="24" s="1"/>
  <c r="AQ118" i="24" s="1"/>
  <c r="N16" i="11"/>
  <c r="S47" i="24"/>
  <c r="U47" i="24" s="1"/>
  <c r="AP47" i="24" s="1"/>
  <c r="AQ47" i="24" s="1"/>
  <c r="N152" i="11"/>
  <c r="R152" i="11" s="1"/>
  <c r="S56" i="24"/>
  <c r="U56" i="24" s="1"/>
  <c r="AP56" i="24" s="1"/>
  <c r="AQ56" i="24" s="1"/>
  <c r="S51" i="24"/>
  <c r="U51" i="24" s="1"/>
  <c r="AP51" i="24" s="1"/>
  <c r="AQ51" i="24" s="1"/>
  <c r="S62" i="24"/>
  <c r="U62" i="24" s="1"/>
  <c r="S184" i="24"/>
  <c r="U184" i="24" s="1"/>
  <c r="AO184" i="24" s="1"/>
  <c r="AP184" i="24" s="1"/>
  <c r="AQ184" i="24" s="1"/>
  <c r="S10" i="24"/>
  <c r="U10" i="24" s="1"/>
  <c r="AO10" i="24" s="1"/>
  <c r="S30" i="24"/>
  <c r="U30" i="24" s="1"/>
  <c r="AO30" i="24" s="1"/>
  <c r="AP30" i="24" s="1"/>
  <c r="AQ30" i="24" s="1"/>
  <c r="S86" i="24"/>
  <c r="U86" i="24" s="1"/>
  <c r="AP86" i="24" s="1"/>
  <c r="AQ86" i="24" s="1"/>
  <c r="S168" i="24"/>
  <c r="U168" i="24" s="1"/>
  <c r="AO168" i="24" s="1"/>
  <c r="AP168" i="24" s="1"/>
  <c r="AQ168" i="24" s="1"/>
  <c r="S107" i="24"/>
  <c r="U107" i="24" s="1"/>
  <c r="AO107" i="24" s="1"/>
  <c r="AP107" i="24" s="1"/>
  <c r="AQ107" i="24" s="1"/>
  <c r="S14" i="24"/>
  <c r="U14" i="24" s="1"/>
  <c r="AO14" i="24" s="1"/>
  <c r="AP14" i="24" s="1"/>
  <c r="AQ14" i="24" s="1"/>
  <c r="S83" i="24"/>
  <c r="U83" i="24" s="1"/>
  <c r="AP83" i="24" s="1"/>
  <c r="AQ83" i="24" s="1"/>
  <c r="S148" i="24"/>
  <c r="S212" i="24"/>
  <c r="U212" i="24" s="1"/>
  <c r="AP212" i="24" s="1"/>
  <c r="AQ212" i="24" s="1"/>
  <c r="S177" i="24"/>
  <c r="U177" i="24" s="1"/>
  <c r="AO177" i="24" s="1"/>
  <c r="AP177" i="24" s="1"/>
  <c r="AQ177" i="24" s="1"/>
  <c r="S75" i="24"/>
  <c r="U75" i="24" s="1"/>
  <c r="AP75" i="24" s="1"/>
  <c r="AQ75" i="24" s="1"/>
  <c r="S34" i="24"/>
  <c r="S35" i="24" s="1"/>
  <c r="S88" i="24"/>
  <c r="U88" i="24" s="1"/>
  <c r="AP88" i="24" s="1"/>
  <c r="AQ88" i="24" s="1"/>
  <c r="S38" i="24"/>
  <c r="U38" i="24" s="1"/>
  <c r="AO38" i="24" s="1"/>
  <c r="AO39" i="24" s="1"/>
  <c r="S112" i="24"/>
  <c r="U112" i="24" s="1"/>
  <c r="AO112" i="24" s="1"/>
  <c r="AP112" i="24" s="1"/>
  <c r="AQ112" i="24" s="1"/>
  <c r="S18" i="24"/>
  <c r="U18" i="24" s="1"/>
  <c r="AO18" i="24" s="1"/>
  <c r="AP18" i="24" s="1"/>
  <c r="AQ18" i="24" s="1"/>
  <c r="S91" i="24"/>
  <c r="U91" i="24" s="1"/>
  <c r="AP91" i="24" s="1"/>
  <c r="AQ91" i="24" s="1"/>
  <c r="S152" i="24"/>
  <c r="U152" i="24" s="1"/>
  <c r="S239" i="24"/>
  <c r="U239" i="24" s="1"/>
  <c r="S234" i="24"/>
  <c r="U234" i="24" s="1"/>
  <c r="AO234" i="24" s="1"/>
  <c r="AP234" i="24" s="1"/>
  <c r="AQ234" i="24" s="1"/>
  <c r="S211" i="24"/>
  <c r="U211" i="24" s="1"/>
  <c r="AP211" i="24" s="1"/>
  <c r="AQ211" i="24" s="1"/>
  <c r="N161" i="11"/>
  <c r="R161" i="11" s="1"/>
  <c r="S161" i="11" s="1"/>
  <c r="S159" i="24"/>
  <c r="U159" i="24" s="1"/>
  <c r="S162" i="24"/>
  <c r="U162" i="24" s="1"/>
  <c r="AO162" i="24" s="1"/>
  <c r="AP162" i="24" s="1"/>
  <c r="AQ162" i="24" s="1"/>
  <c r="S27" i="24"/>
  <c r="U27" i="24" s="1"/>
  <c r="AO27" i="24" s="1"/>
  <c r="AP27" i="24" s="1"/>
  <c r="AQ27" i="24" s="1"/>
  <c r="S68" i="24"/>
  <c r="U68" i="24" s="1"/>
  <c r="AP68" i="24" s="1"/>
  <c r="AQ68" i="24" s="1"/>
  <c r="S94" i="24"/>
  <c r="U94" i="24" s="1"/>
  <c r="AP94" i="24" s="1"/>
  <c r="AQ94" i="24" s="1"/>
  <c r="S77" i="24"/>
  <c r="U77" i="24" s="1"/>
  <c r="AP77" i="24" s="1"/>
  <c r="AQ77" i="24" s="1"/>
  <c r="S166" i="24"/>
  <c r="U166" i="24" s="1"/>
  <c r="AO166" i="24" s="1"/>
  <c r="AP166" i="24" s="1"/>
  <c r="AQ166" i="24" s="1"/>
  <c r="S58" i="24"/>
  <c r="U58" i="24" s="1"/>
  <c r="AP58" i="24" s="1"/>
  <c r="AQ58" i="24" s="1"/>
  <c r="S89" i="24"/>
  <c r="U89" i="24" s="1"/>
  <c r="AP89" i="24" s="1"/>
  <c r="AQ89" i="24" s="1"/>
  <c r="S121" i="24"/>
  <c r="U121" i="24" s="1"/>
  <c r="AO121" i="24" s="1"/>
  <c r="AP121" i="24" s="1"/>
  <c r="AQ121" i="24" s="1"/>
  <c r="S240" i="24"/>
  <c r="U240" i="24" s="1"/>
  <c r="AP240" i="24" s="1"/>
  <c r="AQ240" i="24" s="1"/>
  <c r="S199" i="24"/>
  <c r="U199" i="24" s="1"/>
  <c r="S176" i="24"/>
  <c r="U176" i="24" s="1"/>
  <c r="AO176" i="24" s="1"/>
  <c r="AP176" i="24" s="1"/>
  <c r="AQ176" i="24" s="1"/>
  <c r="X8" i="4"/>
  <c r="S124" i="24"/>
  <c r="U124" i="24" s="1"/>
  <c r="S26" i="24"/>
  <c r="U26" i="24" s="1"/>
  <c r="AO26" i="24" s="1"/>
  <c r="AP26" i="24" s="1"/>
  <c r="AQ26" i="24" s="1"/>
  <c r="S46" i="24"/>
  <c r="U46" i="24" s="1"/>
  <c r="S84" i="24"/>
  <c r="U84" i="24" s="1"/>
  <c r="AP84" i="24" s="1"/>
  <c r="AQ84" i="24" s="1"/>
  <c r="S101" i="24"/>
  <c r="U101" i="24" s="1"/>
  <c r="S182" i="24"/>
  <c r="U182" i="24" s="1"/>
  <c r="AO182" i="24" s="1"/>
  <c r="AP182" i="24" s="1"/>
  <c r="AQ182" i="24" s="1"/>
  <c r="S65" i="24"/>
  <c r="U65" i="24" s="1"/>
  <c r="AP65" i="24" s="1"/>
  <c r="AQ65" i="24" s="1"/>
  <c r="S111" i="24"/>
  <c r="U111" i="24" s="1"/>
  <c r="S169" i="24"/>
  <c r="U169" i="24" s="1"/>
  <c r="AO169" i="24" s="1"/>
  <c r="AP169" i="24" s="1"/>
  <c r="AQ169" i="24" s="1"/>
  <c r="S50" i="24"/>
  <c r="U50" i="24" s="1"/>
  <c r="S78" i="24"/>
  <c r="U78" i="24" s="1"/>
  <c r="AP78" i="24" s="1"/>
  <c r="AQ78" i="24" s="1"/>
  <c r="S116" i="24"/>
  <c r="U116" i="24" s="1"/>
  <c r="S143" i="24"/>
  <c r="U143" i="24" s="1"/>
  <c r="S222" i="24"/>
  <c r="U222" i="24" s="1"/>
  <c r="AP222" i="24" s="1"/>
  <c r="AQ222" i="24" s="1"/>
  <c r="S214" i="24"/>
  <c r="U214" i="24" s="1"/>
  <c r="AP214" i="24" s="1"/>
  <c r="AQ214" i="24" s="1"/>
  <c r="S226" i="24"/>
  <c r="U226" i="24" s="1"/>
  <c r="S173" i="24"/>
  <c r="U173" i="24" s="1"/>
  <c r="S215" i="24"/>
  <c r="U215" i="24" s="1"/>
  <c r="AP215" i="24" s="1"/>
  <c r="AQ215" i="24" s="1"/>
  <c r="S31" i="24"/>
  <c r="U31" i="24" s="1"/>
  <c r="AO31" i="24" s="1"/>
  <c r="AP31" i="24" s="1"/>
  <c r="AQ31" i="24" s="1"/>
  <c r="S53" i="24"/>
  <c r="U53" i="24" s="1"/>
  <c r="AP53" i="24" s="1"/>
  <c r="AQ53" i="24" s="1"/>
  <c r="S19" i="24"/>
  <c r="U19" i="24" s="1"/>
  <c r="AO19" i="24" s="1"/>
  <c r="AP19" i="24" s="1"/>
  <c r="AQ19" i="24" s="1"/>
  <c r="N162" i="11"/>
  <c r="R162" i="11" s="1"/>
  <c r="S162" i="11" s="1"/>
  <c r="S125" i="24"/>
  <c r="U125" i="24" s="1"/>
  <c r="AO125" i="24" s="1"/>
  <c r="AP125" i="24" s="1"/>
  <c r="AQ125" i="24" s="1"/>
  <c r="S167" i="24"/>
  <c r="U167" i="24" s="1"/>
  <c r="AO167" i="24" s="1"/>
  <c r="AP167" i="24" s="1"/>
  <c r="AQ167" i="24" s="1"/>
  <c r="S71" i="24"/>
  <c r="U71" i="24" s="1"/>
  <c r="AP71" i="24" s="1"/>
  <c r="AQ71" i="24" s="1"/>
  <c r="S12" i="24"/>
  <c r="U12" i="24" s="1"/>
  <c r="AO12" i="24" s="1"/>
  <c r="AP12" i="24" s="1"/>
  <c r="AQ12" i="24" s="1"/>
  <c r="S29" i="24"/>
  <c r="U29" i="24" s="1"/>
  <c r="AO29" i="24" s="1"/>
  <c r="AP29" i="24" s="1"/>
  <c r="AQ29" i="24" s="1"/>
  <c r="S52" i="24"/>
  <c r="U52" i="24" s="1"/>
  <c r="AP52" i="24" s="1"/>
  <c r="AQ52" i="24" s="1"/>
  <c r="S76" i="24"/>
  <c r="U76" i="24" s="1"/>
  <c r="AP76" i="24" s="1"/>
  <c r="AQ76" i="24" s="1"/>
  <c r="S92" i="24"/>
  <c r="U92" i="24" s="1"/>
  <c r="AP92" i="24" s="1"/>
  <c r="AQ92" i="24" s="1"/>
  <c r="S145" i="24"/>
  <c r="U145" i="24" s="1"/>
  <c r="AP145" i="24" s="1"/>
  <c r="AQ145" i="24" s="1"/>
  <c r="S186" i="24"/>
  <c r="U186" i="24" s="1"/>
  <c r="AO186" i="24" s="1"/>
  <c r="AP186" i="24" s="1"/>
  <c r="AQ186" i="24" s="1"/>
  <c r="S59" i="24"/>
  <c r="U59" i="24" s="1"/>
  <c r="AP59" i="24" s="1"/>
  <c r="AQ59" i="24" s="1"/>
  <c r="S79" i="24"/>
  <c r="U79" i="24" s="1"/>
  <c r="AP79" i="24" s="1"/>
  <c r="AQ79" i="24" s="1"/>
  <c r="S113" i="24"/>
  <c r="U113" i="24" s="1"/>
  <c r="AO113" i="24" s="1"/>
  <c r="AP113" i="24" s="1"/>
  <c r="AQ113" i="24" s="1"/>
  <c r="S218" i="24"/>
  <c r="U218" i="24" s="1"/>
  <c r="S24" i="24"/>
  <c r="U24" i="24" s="1"/>
  <c r="AO24" i="24" s="1"/>
  <c r="AP24" i="24" s="1"/>
  <c r="AQ24" i="24" s="1"/>
  <c r="S66" i="24"/>
  <c r="U66" i="24" s="1"/>
  <c r="AP66" i="24" s="1"/>
  <c r="AQ66" i="24" s="1"/>
  <c r="S87" i="24"/>
  <c r="U87" i="24" s="1"/>
  <c r="AP87" i="24" s="1"/>
  <c r="AQ87" i="24" s="1"/>
  <c r="S117" i="24"/>
  <c r="U117" i="24" s="1"/>
  <c r="AO117" i="24" s="1"/>
  <c r="AP117" i="24" s="1"/>
  <c r="AQ117" i="24" s="1"/>
  <c r="S133" i="24"/>
  <c r="U133" i="24" s="1"/>
  <c r="S170" i="24"/>
  <c r="U170" i="24" s="1"/>
  <c r="AO170" i="24" s="1"/>
  <c r="AP170" i="24" s="1"/>
  <c r="AQ170" i="24" s="1"/>
  <c r="S189" i="24"/>
  <c r="S190" i="24" s="1"/>
  <c r="S219" i="24"/>
  <c r="U219" i="24" s="1"/>
  <c r="AP219" i="24" s="1"/>
  <c r="AQ219" i="24" s="1"/>
  <c r="S241" i="24"/>
  <c r="U241" i="24" s="1"/>
  <c r="AP241" i="24" s="1"/>
  <c r="AQ241" i="24" s="1"/>
  <c r="S175" i="24"/>
  <c r="U175" i="24" s="1"/>
  <c r="AO175" i="24" s="1"/>
  <c r="AP175" i="24" s="1"/>
  <c r="AQ175" i="24" s="1"/>
  <c r="S213" i="24"/>
  <c r="U213" i="24" s="1"/>
  <c r="AO213" i="24" s="1"/>
  <c r="N51" i="11"/>
  <c r="N145" i="11"/>
  <c r="R145" i="11" s="1"/>
  <c r="S102" i="24"/>
  <c r="U102" i="24" s="1"/>
  <c r="AO102" i="24" s="1"/>
  <c r="AP102" i="24" s="1"/>
  <c r="AQ102" i="24" s="1"/>
  <c r="C3" i="6"/>
  <c r="S160" i="24"/>
  <c r="U160" i="24" s="1"/>
  <c r="AO160" i="24" s="1"/>
  <c r="AP160" i="24" s="1"/>
  <c r="AQ160" i="24" s="1"/>
  <c r="S185" i="24"/>
  <c r="U185" i="24" s="1"/>
  <c r="AO185" i="24" s="1"/>
  <c r="AP185" i="24" s="1"/>
  <c r="AQ185" i="24" s="1"/>
  <c r="S106" i="24"/>
  <c r="S103" i="24"/>
  <c r="U103" i="24" s="1"/>
  <c r="AO103" i="24" s="1"/>
  <c r="AP103" i="24" s="1"/>
  <c r="AQ103" i="24" s="1"/>
  <c r="S63" i="24"/>
  <c r="U63" i="24" s="1"/>
  <c r="AP63" i="24" s="1"/>
  <c r="AQ63" i="24" s="1"/>
  <c r="S15" i="24"/>
  <c r="U15" i="24" s="1"/>
  <c r="AO15" i="24" s="1"/>
  <c r="AP15" i="24" s="1"/>
  <c r="AQ15" i="24" s="1"/>
  <c r="S28" i="24"/>
  <c r="U28" i="24" s="1"/>
  <c r="AO28" i="24" s="1"/>
  <c r="AP28" i="24" s="1"/>
  <c r="AQ28" i="24" s="1"/>
  <c r="S37" i="24"/>
  <c r="S64" i="24"/>
  <c r="U64" i="24" s="1"/>
  <c r="AP64" i="24" s="1"/>
  <c r="AQ64" i="24" s="1"/>
  <c r="S82" i="24"/>
  <c r="U82" i="24" s="1"/>
  <c r="S90" i="24"/>
  <c r="U90" i="24" s="1"/>
  <c r="AP90" i="24" s="1"/>
  <c r="AQ90" i="24" s="1"/>
  <c r="S135" i="24"/>
  <c r="U135" i="24" s="1"/>
  <c r="AP135" i="24" s="1"/>
  <c r="AQ135" i="24" s="1"/>
  <c r="S153" i="24"/>
  <c r="U153" i="24" s="1"/>
  <c r="AP153" i="24" s="1"/>
  <c r="AQ153" i="24" s="1"/>
  <c r="S232" i="24"/>
  <c r="S55" i="24"/>
  <c r="U55" i="24" s="1"/>
  <c r="AP55" i="24" s="1"/>
  <c r="AQ55" i="24" s="1"/>
  <c r="S73" i="24"/>
  <c r="U73" i="24" s="1"/>
  <c r="AP73" i="24" s="1"/>
  <c r="AQ73" i="24" s="1"/>
  <c r="S108" i="24"/>
  <c r="U108" i="24" s="1"/>
  <c r="AO108" i="24" s="1"/>
  <c r="AP108" i="24" s="1"/>
  <c r="AQ108" i="24" s="1"/>
  <c r="S134" i="24"/>
  <c r="U134" i="24" s="1"/>
  <c r="AP134" i="24" s="1"/>
  <c r="AQ134" i="24" s="1"/>
  <c r="S183" i="24"/>
  <c r="U183" i="24" s="1"/>
  <c r="AO183" i="24" s="1"/>
  <c r="AP183" i="24" s="1"/>
  <c r="AQ183" i="24" s="1"/>
  <c r="S16" i="24"/>
  <c r="U16" i="24" s="1"/>
  <c r="AO16" i="24" s="1"/>
  <c r="AP16" i="24" s="1"/>
  <c r="AQ16" i="24" s="1"/>
  <c r="S54" i="24"/>
  <c r="U54" i="24" s="1"/>
  <c r="AP54" i="24" s="1"/>
  <c r="AQ54" i="24" s="1"/>
  <c r="S70" i="24"/>
  <c r="U70" i="24" s="1"/>
  <c r="AP70" i="24" s="1"/>
  <c r="AQ70" i="24" s="1"/>
  <c r="S85" i="24"/>
  <c r="U85" i="24" s="1"/>
  <c r="AP85" i="24" s="1"/>
  <c r="AQ85" i="24" s="1"/>
  <c r="S93" i="24"/>
  <c r="U93" i="24" s="1"/>
  <c r="AP93" i="24" s="1"/>
  <c r="AQ93" i="24" s="1"/>
  <c r="S119" i="24"/>
  <c r="U119" i="24" s="1"/>
  <c r="AO119" i="24" s="1"/>
  <c r="AP119" i="24" s="1"/>
  <c r="AQ119" i="24" s="1"/>
  <c r="S138" i="24"/>
  <c r="U138" i="24" s="1"/>
  <c r="S165" i="24"/>
  <c r="U165" i="24" s="1"/>
  <c r="S210" i="24"/>
  <c r="S223" i="24"/>
  <c r="U223" i="24" s="1"/>
  <c r="AP223" i="24" s="1"/>
  <c r="AQ223" i="24" s="1"/>
  <c r="S220" i="24"/>
  <c r="U220" i="24" s="1"/>
  <c r="AO220" i="24" s="1"/>
  <c r="S174" i="24"/>
  <c r="U174" i="24" s="1"/>
  <c r="AO174" i="24" s="1"/>
  <c r="AP174" i="24" s="1"/>
  <c r="AQ174" i="24" s="1"/>
  <c r="S178" i="24"/>
  <c r="U178" i="24" s="1"/>
  <c r="AO178" i="24" s="1"/>
  <c r="AP178" i="24" s="1"/>
  <c r="AQ178" i="24" s="1"/>
  <c r="S221" i="24"/>
  <c r="U221" i="24" s="1"/>
  <c r="AO221" i="24" s="1"/>
  <c r="K162" i="11"/>
  <c r="U33" i="7"/>
  <c r="S161" i="24"/>
  <c r="U161" i="24" s="1"/>
  <c r="AO161" i="24" s="1"/>
  <c r="AP161" i="24" s="1"/>
  <c r="AQ161" i="24" s="1"/>
  <c r="S13" i="24"/>
  <c r="U13" i="24" s="1"/>
  <c r="AO13" i="24" s="1"/>
  <c r="AP13" i="24" s="1"/>
  <c r="AQ13" i="24" s="1"/>
  <c r="Q192" i="24"/>
  <c r="R192" i="24" s="1"/>
  <c r="Q32" i="24"/>
  <c r="R22" i="24"/>
  <c r="S22" i="24" s="1"/>
  <c r="U22" i="24" s="1"/>
  <c r="Q229" i="24"/>
  <c r="R229" i="24" s="1"/>
  <c r="Q97" i="24"/>
  <c r="R25" i="24"/>
  <c r="S25" i="24" s="1"/>
  <c r="U25" i="24" s="1"/>
  <c r="AO25" i="24" s="1"/>
  <c r="AP25" i="24" s="1"/>
  <c r="AQ25" i="24" s="1"/>
  <c r="P32" i="24"/>
  <c r="P41" i="24" s="1"/>
  <c r="R23" i="24"/>
  <c r="S23" i="24" s="1"/>
  <c r="U23" i="24" s="1"/>
  <c r="AO23" i="24" s="1"/>
  <c r="AP23" i="24" s="1"/>
  <c r="AQ23" i="24" s="1"/>
  <c r="Q156" i="24"/>
  <c r="R156" i="24" s="1"/>
  <c r="Q128" i="24"/>
  <c r="R128" i="24" s="1"/>
  <c r="D46" i="23"/>
  <c r="D62" i="23" s="1"/>
  <c r="D78" i="23" s="1"/>
  <c r="AN18" i="23"/>
  <c r="C49" i="6"/>
  <c r="R44" i="23"/>
  <c r="R60" i="23" s="1"/>
  <c r="R76" i="23" s="1"/>
  <c r="BB16" i="23"/>
  <c r="F2" i="4" l="1"/>
  <c r="E2" i="4"/>
  <c r="AP17" i="4"/>
  <c r="J44" i="23"/>
  <c r="J60" i="23" s="1"/>
  <c r="J76" i="23" s="1"/>
  <c r="S21" i="45"/>
  <c r="S22" i="45" s="1"/>
  <c r="S25" i="45"/>
  <c r="D75" i="14"/>
  <c r="AT16" i="23"/>
  <c r="D58" i="23"/>
  <c r="D74" i="23" s="1"/>
  <c r="D90" i="23" s="1"/>
  <c r="D42" i="23"/>
  <c r="D47" i="23"/>
  <c r="D63" i="23" s="1"/>
  <c r="D79" i="23" s="1"/>
  <c r="D31" i="23"/>
  <c r="AN29" i="23"/>
  <c r="D41" i="23"/>
  <c r="AX16" i="23"/>
  <c r="N28" i="23"/>
  <c r="F44" i="23"/>
  <c r="F60" i="23" s="1"/>
  <c r="F76" i="23" s="1"/>
  <c r="F28" i="23"/>
  <c r="D48" i="23"/>
  <c r="D64" i="23" s="1"/>
  <c r="D80" i="23" s="1"/>
  <c r="D32" i="23"/>
  <c r="D53" i="23"/>
  <c r="D69" i="23" s="1"/>
  <c r="D85" i="23" s="1"/>
  <c r="D37" i="23"/>
  <c r="D54" i="23"/>
  <c r="D70" i="23" s="1"/>
  <c r="D86" i="23" s="1"/>
  <c r="D38" i="23"/>
  <c r="AN27" i="23"/>
  <c r="D39" i="23"/>
  <c r="D51" i="23"/>
  <c r="D67" i="23" s="1"/>
  <c r="D83" i="23" s="1"/>
  <c r="D35" i="23"/>
  <c r="AU16" i="23"/>
  <c r="K28" i="23"/>
  <c r="AN24" i="23"/>
  <c r="D36" i="23"/>
  <c r="D56" i="23"/>
  <c r="D72" i="23" s="1"/>
  <c r="D88" i="23" s="1"/>
  <c r="D40" i="23"/>
  <c r="AZ16" i="23"/>
  <c r="P28" i="23"/>
  <c r="AY16" i="23"/>
  <c r="O28" i="23"/>
  <c r="E44" i="23"/>
  <c r="E60" i="23" s="1"/>
  <c r="E76" i="23" s="1"/>
  <c r="E28" i="23"/>
  <c r="Q44" i="23"/>
  <c r="Q60" i="23" s="1"/>
  <c r="Q76" i="23" s="1"/>
  <c r="Q28" i="23"/>
  <c r="M44" i="23"/>
  <c r="M60" i="23" s="1"/>
  <c r="M76" i="23" s="1"/>
  <c r="M28" i="23"/>
  <c r="D49" i="23"/>
  <c r="D65" i="23" s="1"/>
  <c r="D81" i="23" s="1"/>
  <c r="D33" i="23"/>
  <c r="AN22" i="23"/>
  <c r="D34" i="23"/>
  <c r="AQ16" i="23"/>
  <c r="G28" i="23"/>
  <c r="I44" i="23"/>
  <c r="I60" i="23" s="1"/>
  <c r="I76" i="23" s="1"/>
  <c r="I28" i="23"/>
  <c r="D45" i="23"/>
  <c r="D61" i="23" s="1"/>
  <c r="D77" i="23" s="1"/>
  <c r="D29" i="23"/>
  <c r="AV16" i="23"/>
  <c r="L28" i="23"/>
  <c r="H44" i="23"/>
  <c r="H60" i="23" s="1"/>
  <c r="H76" i="23" s="1"/>
  <c r="H28" i="23"/>
  <c r="AS16" i="23"/>
  <c r="P44" i="23"/>
  <c r="P60" i="23" s="1"/>
  <c r="P76" i="23" s="1"/>
  <c r="S8" i="45"/>
  <c r="S59" i="45" s="1"/>
  <c r="BA16" i="23"/>
  <c r="F23" i="8"/>
  <c r="F31" i="6"/>
  <c r="S104" i="14"/>
  <c r="O3" i="29"/>
  <c r="C463" i="36"/>
  <c r="U182" i="11" s="1"/>
  <c r="Y182" i="11" s="1"/>
  <c r="Z182" i="11" s="1"/>
  <c r="AA15" i="25"/>
  <c r="AA14" i="25" s="1"/>
  <c r="N15" i="25"/>
  <c r="N14" i="25" s="1"/>
  <c r="U15" i="25"/>
  <c r="U14" i="25" s="1"/>
  <c r="S15" i="25"/>
  <c r="S14" i="25" s="1"/>
  <c r="M15" i="25"/>
  <c r="M14" i="25" s="1"/>
  <c r="Y15" i="25"/>
  <c r="Y14" i="25" s="1"/>
  <c r="X15" i="25"/>
  <c r="X14" i="25" s="1"/>
  <c r="H15" i="25"/>
  <c r="K15" i="25"/>
  <c r="W151" i="11"/>
  <c r="W64" i="11"/>
  <c r="G15" i="25"/>
  <c r="W52" i="11"/>
  <c r="W67" i="11"/>
  <c r="Y67" i="11" s="1"/>
  <c r="Z67" i="11" s="1"/>
  <c r="W86" i="11"/>
  <c r="Y86" i="11" s="1"/>
  <c r="V15" i="25"/>
  <c r="V14" i="25" s="1"/>
  <c r="P15" i="25"/>
  <c r="P14" i="25" s="1"/>
  <c r="W15" i="25"/>
  <c r="W14" i="25" s="1"/>
  <c r="I15" i="25"/>
  <c r="Q15" i="25"/>
  <c r="Q14" i="25" s="1"/>
  <c r="O15" i="25"/>
  <c r="O14" i="25" s="1"/>
  <c r="W94" i="11"/>
  <c r="T15" i="25"/>
  <c r="T14" i="25" s="1"/>
  <c r="J15" i="25"/>
  <c r="W27" i="11"/>
  <c r="Y27" i="11" s="1"/>
  <c r="Z27" i="11" s="1"/>
  <c r="W87" i="11"/>
  <c r="W45" i="11"/>
  <c r="W88" i="11"/>
  <c r="R15" i="25"/>
  <c r="R14" i="25" s="1"/>
  <c r="Z15" i="25"/>
  <c r="Z14" i="25" s="1"/>
  <c r="L15" i="25"/>
  <c r="L14" i="25" s="1"/>
  <c r="W54" i="11"/>
  <c r="W145" i="11"/>
  <c r="W147" i="11"/>
  <c r="W155" i="11"/>
  <c r="W46" i="11"/>
  <c r="W61" i="11"/>
  <c r="W47" i="11"/>
  <c r="W85" i="11"/>
  <c r="W84" i="11"/>
  <c r="W156" i="11"/>
  <c r="W163" i="11"/>
  <c r="W48" i="11"/>
  <c r="Y48" i="11" s="1"/>
  <c r="Z48" i="11" s="1"/>
  <c r="W60" i="11"/>
  <c r="W65" i="11"/>
  <c r="W81" i="11"/>
  <c r="W92" i="11"/>
  <c r="W162" i="11"/>
  <c r="W166" i="11"/>
  <c r="W49" i="11"/>
  <c r="W63" i="11"/>
  <c r="W56" i="11"/>
  <c r="W82" i="11"/>
  <c r="W73" i="11"/>
  <c r="W157" i="11"/>
  <c r="W183" i="11"/>
  <c r="N3" i="12"/>
  <c r="W25" i="11"/>
  <c r="W50" i="11"/>
  <c r="W62" i="11"/>
  <c r="W70" i="11"/>
  <c r="W83" i="11"/>
  <c r="W28" i="11"/>
  <c r="W159" i="11"/>
  <c r="W175" i="11"/>
  <c r="W16" i="11"/>
  <c r="W51" i="11"/>
  <c r="W69" i="11"/>
  <c r="W93" i="11"/>
  <c r="W91" i="11"/>
  <c r="W153" i="11"/>
  <c r="W149" i="11"/>
  <c r="W171" i="11"/>
  <c r="W36" i="11"/>
  <c r="Y36" i="11" s="1"/>
  <c r="Z36" i="11" s="1"/>
  <c r="W55" i="11"/>
  <c r="W68" i="11"/>
  <c r="W80" i="11"/>
  <c r="W79" i="11"/>
  <c r="W148" i="11"/>
  <c r="W161" i="11"/>
  <c r="W178" i="11"/>
  <c r="W146" i="11"/>
  <c r="W174" i="11"/>
  <c r="W152" i="11"/>
  <c r="W177" i="11"/>
  <c r="W158" i="11"/>
  <c r="W172" i="11"/>
  <c r="W179" i="11"/>
  <c r="W173" i="11"/>
  <c r="W176" i="11"/>
  <c r="W16" i="23"/>
  <c r="D13" i="30"/>
  <c r="D72" i="30" s="1"/>
  <c r="W23" i="23"/>
  <c r="N3" i="35"/>
  <c r="N3" i="11"/>
  <c r="Q4" i="23"/>
  <c r="P3" i="30"/>
  <c r="O3" i="36"/>
  <c r="L3" i="14"/>
  <c r="K4" i="29"/>
  <c r="D12" i="30"/>
  <c r="W25" i="23"/>
  <c r="W18" i="23"/>
  <c r="M3" i="29"/>
  <c r="J4" i="12"/>
  <c r="J4" i="11"/>
  <c r="L3" i="12"/>
  <c r="L3" i="11"/>
  <c r="K4" i="36"/>
  <c r="J3" i="14"/>
  <c r="M3" i="36"/>
  <c r="J4" i="35"/>
  <c r="H4" i="14"/>
  <c r="N3" i="30"/>
  <c r="L3" i="35"/>
  <c r="O4" i="23"/>
  <c r="M5" i="23"/>
  <c r="Z14" i="11"/>
  <c r="AC163" i="11"/>
  <c r="Z13" i="11"/>
  <c r="AD140" i="11"/>
  <c r="AD139" i="11"/>
  <c r="Z18" i="11"/>
  <c r="AB185" i="11"/>
  <c r="Z19" i="11"/>
  <c r="Z66" i="11"/>
  <c r="Z17" i="11"/>
  <c r="AB184" i="11"/>
  <c r="Z15" i="11"/>
  <c r="D26" i="14"/>
  <c r="D9" i="30"/>
  <c r="D68" i="30" s="1"/>
  <c r="W17" i="23"/>
  <c r="D10" i="30"/>
  <c r="D69" i="30" s="1"/>
  <c r="N93" i="11"/>
  <c r="N92" i="11"/>
  <c r="N91" i="11"/>
  <c r="Z181" i="11"/>
  <c r="Z160" i="11"/>
  <c r="Z154" i="11"/>
  <c r="Z150" i="11"/>
  <c r="Z144" i="11"/>
  <c r="AC154" i="11"/>
  <c r="AC150" i="11"/>
  <c r="AC159" i="11"/>
  <c r="AC153" i="11"/>
  <c r="AC149" i="11"/>
  <c r="AC160" i="11"/>
  <c r="F117" i="11"/>
  <c r="T73" i="11"/>
  <c r="N117" i="11"/>
  <c r="N114" i="11"/>
  <c r="N113" i="11"/>
  <c r="R171" i="11"/>
  <c r="R176" i="11"/>
  <c r="R175" i="11"/>
  <c r="R174" i="11"/>
  <c r="R173" i="11"/>
  <c r="R172" i="11"/>
  <c r="R177" i="11"/>
  <c r="R178" i="11"/>
  <c r="R51" i="11"/>
  <c r="U51" i="11" s="1"/>
  <c r="K146" i="11"/>
  <c r="T146" i="11" s="1"/>
  <c r="AC146" i="11" s="1"/>
  <c r="AN26" i="23"/>
  <c r="R16" i="11"/>
  <c r="U16" i="11" s="1"/>
  <c r="F114" i="11"/>
  <c r="J114" i="11" s="1"/>
  <c r="Q114" i="11" s="1"/>
  <c r="F113" i="11"/>
  <c r="J113" i="11" s="1"/>
  <c r="Q113" i="11" s="1"/>
  <c r="Q112" i="11" s="1"/>
  <c r="N104" i="14"/>
  <c r="L104" i="14"/>
  <c r="M104" i="14"/>
  <c r="O104" i="14"/>
  <c r="K105" i="14"/>
  <c r="D105" i="14" s="1"/>
  <c r="P104" i="14"/>
  <c r="K104" i="14"/>
  <c r="Q104" i="14"/>
  <c r="R104" i="14"/>
  <c r="AN21" i="23"/>
  <c r="AN30" i="23"/>
  <c r="K44" i="23"/>
  <c r="K60" i="23" s="1"/>
  <c r="K76" i="23" s="1"/>
  <c r="AO16" i="23"/>
  <c r="AN17" i="23"/>
  <c r="G44" i="23"/>
  <c r="G60" i="23" s="1"/>
  <c r="G76" i="23" s="1"/>
  <c r="L44" i="23"/>
  <c r="L60" i="23" s="1"/>
  <c r="L76" i="23" s="1"/>
  <c r="D57" i="23"/>
  <c r="D73" i="23" s="1"/>
  <c r="D89" i="23" s="1"/>
  <c r="AN25" i="23"/>
  <c r="AP16" i="23"/>
  <c r="AN28" i="23"/>
  <c r="AN23" i="23"/>
  <c r="AN20" i="23"/>
  <c r="N44" i="23"/>
  <c r="N60" i="23" s="1"/>
  <c r="N76" i="23" s="1"/>
  <c r="D50" i="23"/>
  <c r="D66" i="23" s="1"/>
  <c r="D82" i="23" s="1"/>
  <c r="O44" i="23"/>
  <c r="O60" i="23" s="1"/>
  <c r="O76" i="23" s="1"/>
  <c r="D52" i="23"/>
  <c r="D68" i="23" s="1"/>
  <c r="D84" i="23" s="1"/>
  <c r="AW16" i="23"/>
  <c r="D55" i="23"/>
  <c r="D71" i="23" s="1"/>
  <c r="D87" i="23" s="1"/>
  <c r="AN19" i="23"/>
  <c r="S163" i="11"/>
  <c r="G152" i="11"/>
  <c r="S152" i="11"/>
  <c r="S153" i="11" s="1"/>
  <c r="R149" i="11"/>
  <c r="S145" i="11"/>
  <c r="S149" i="11" s="1"/>
  <c r="G161" i="11"/>
  <c r="R163" i="11"/>
  <c r="G151" i="11"/>
  <c r="R153" i="11"/>
  <c r="M7" i="14"/>
  <c r="M9" i="14" s="1"/>
  <c r="N111" i="11"/>
  <c r="R111" i="11" s="1"/>
  <c r="N87" i="11"/>
  <c r="N83" i="11"/>
  <c r="N85" i="11"/>
  <c r="N109" i="11"/>
  <c r="R109" i="11" s="1"/>
  <c r="N112" i="11"/>
  <c r="I151" i="11"/>
  <c r="I148" i="11"/>
  <c r="I146" i="11"/>
  <c r="I156" i="11"/>
  <c r="I145" i="11"/>
  <c r="I147" i="11"/>
  <c r="I158" i="11"/>
  <c r="I155" i="11"/>
  <c r="I161" i="11"/>
  <c r="I162" i="11"/>
  <c r="I157" i="11"/>
  <c r="I152" i="11"/>
  <c r="Y193" i="11"/>
  <c r="AB193" i="11" s="1"/>
  <c r="L9" i="14"/>
  <c r="E20" i="12" s="1"/>
  <c r="S150" i="24"/>
  <c r="S208" i="24"/>
  <c r="AO211" i="24"/>
  <c r="S200" i="24"/>
  <c r="AP38" i="24"/>
  <c r="AQ38" i="24" s="1"/>
  <c r="U34" i="24"/>
  <c r="AL35" i="24" s="1"/>
  <c r="N61" i="11"/>
  <c r="U148" i="24"/>
  <c r="AB150" i="24" s="1"/>
  <c r="S39" i="24"/>
  <c r="C51" i="11"/>
  <c r="AO240" i="24"/>
  <c r="D35" i="14"/>
  <c r="S235" i="24"/>
  <c r="AO212" i="24"/>
  <c r="N62" i="11"/>
  <c r="C4" i="6"/>
  <c r="W70" i="23"/>
  <c r="C50" i="11"/>
  <c r="N50" i="11" s="1"/>
  <c r="N60" i="11"/>
  <c r="N63" i="11"/>
  <c r="N73" i="11" s="1"/>
  <c r="X9" i="4"/>
  <c r="S227" i="24"/>
  <c r="AO214" i="24"/>
  <c r="AO222" i="24"/>
  <c r="S48" i="24"/>
  <c r="AO215" i="24"/>
  <c r="U37" i="24"/>
  <c r="AE39" i="24" s="1"/>
  <c r="AO219" i="24"/>
  <c r="AP213" i="24"/>
  <c r="AQ213" i="24" s="1"/>
  <c r="S216" i="24"/>
  <c r="Y187" i="24"/>
  <c r="U20" i="24"/>
  <c r="S109" i="24"/>
  <c r="S114" i="24"/>
  <c r="Z20" i="24"/>
  <c r="AP220" i="24"/>
  <c r="AQ220" i="24" s="1"/>
  <c r="S242" i="24"/>
  <c r="S146" i="24"/>
  <c r="U106" i="24"/>
  <c r="AD109" i="24" s="1"/>
  <c r="Z187" i="24"/>
  <c r="U187" i="24"/>
  <c r="S136" i="24"/>
  <c r="S20" i="24"/>
  <c r="AO223" i="24"/>
  <c r="AL20" i="24"/>
  <c r="AJ20" i="24"/>
  <c r="AL187" i="24"/>
  <c r="AJ187" i="24"/>
  <c r="U189" i="24"/>
  <c r="AI190" i="24" s="1"/>
  <c r="U232" i="24"/>
  <c r="AI235" i="24" s="1"/>
  <c r="AI236" i="24" s="1"/>
  <c r="S122" i="24"/>
  <c r="AO241" i="24"/>
  <c r="AP221" i="24"/>
  <c r="AQ221" i="24" s="1"/>
  <c r="Y20" i="24"/>
  <c r="AC187" i="24"/>
  <c r="AA187" i="24"/>
  <c r="S80" i="24"/>
  <c r="S126" i="24"/>
  <c r="S163" i="24"/>
  <c r="S154" i="24"/>
  <c r="U210" i="24"/>
  <c r="AA216" i="24" s="1"/>
  <c r="AI20" i="24"/>
  <c r="AK20" i="24"/>
  <c r="S187" i="24"/>
  <c r="T162" i="11"/>
  <c r="AC162" i="11" s="1"/>
  <c r="S171" i="24"/>
  <c r="S95" i="24"/>
  <c r="S60" i="24"/>
  <c r="AG187" i="24"/>
  <c r="AD187" i="24"/>
  <c r="AE187" i="24"/>
  <c r="AB187" i="24"/>
  <c r="S141" i="24"/>
  <c r="AA20" i="24"/>
  <c r="AB20" i="24"/>
  <c r="AC20" i="24"/>
  <c r="AD20" i="24"/>
  <c r="AK187" i="24"/>
  <c r="AH187" i="24"/>
  <c r="AI187" i="24"/>
  <c r="AF187" i="24"/>
  <c r="S224" i="24"/>
  <c r="S104" i="24"/>
  <c r="AE20" i="24"/>
  <c r="AF20" i="24"/>
  <c r="AG20" i="24"/>
  <c r="AH20" i="24"/>
  <c r="S179" i="24"/>
  <c r="S32" i="24"/>
  <c r="R32" i="24"/>
  <c r="Q41" i="24"/>
  <c r="P251" i="24"/>
  <c r="P250" i="24"/>
  <c r="P244" i="24" s="1"/>
  <c r="P246" i="24" s="1"/>
  <c r="Q245" i="24"/>
  <c r="R245" i="24" s="1"/>
  <c r="R97" i="24"/>
  <c r="F14" i="8"/>
  <c r="F8" i="8"/>
  <c r="F27" i="8"/>
  <c r="F7" i="8"/>
  <c r="F21" i="8"/>
  <c r="F5" i="8"/>
  <c r="F24" i="8"/>
  <c r="F11" i="8"/>
  <c r="F12" i="8"/>
  <c r="F28" i="8"/>
  <c r="F6" i="8"/>
  <c r="F18" i="8"/>
  <c r="F17" i="8"/>
  <c r="F16" i="8"/>
  <c r="F29" i="8"/>
  <c r="F19" i="8"/>
  <c r="F9" i="8"/>
  <c r="F13" i="8"/>
  <c r="F25" i="8"/>
  <c r="F15" i="8"/>
  <c r="F10" i="8"/>
  <c r="F26" i="8"/>
  <c r="F22" i="8"/>
  <c r="F20" i="8"/>
  <c r="AJ95" i="24"/>
  <c r="AF95" i="24"/>
  <c r="AB95" i="24"/>
  <c r="U95" i="24"/>
  <c r="AI95" i="24"/>
  <c r="AE95" i="24"/>
  <c r="AA95" i="24"/>
  <c r="AL95" i="24"/>
  <c r="AH95" i="24"/>
  <c r="AD95" i="24"/>
  <c r="Z95" i="24"/>
  <c r="AK95" i="24"/>
  <c r="AG95" i="24"/>
  <c r="AP82" i="24"/>
  <c r="AC95" i="24"/>
  <c r="Y95" i="24"/>
  <c r="AI208" i="24"/>
  <c r="AE208" i="24"/>
  <c r="AA208" i="24"/>
  <c r="AP205" i="24"/>
  <c r="AL208" i="24"/>
  <c r="AH208" i="24"/>
  <c r="AD208" i="24"/>
  <c r="Z208" i="24"/>
  <c r="AO205" i="24"/>
  <c r="AK208" i="24"/>
  <c r="AG208" i="24"/>
  <c r="AC208" i="24"/>
  <c r="Y208" i="24"/>
  <c r="U208" i="24"/>
  <c r="AJ208" i="24"/>
  <c r="AF208" i="24"/>
  <c r="AB208" i="24"/>
  <c r="AJ146" i="24"/>
  <c r="AF146" i="24"/>
  <c r="AB146" i="24"/>
  <c r="U146" i="24"/>
  <c r="AI146" i="24"/>
  <c r="AE146" i="24"/>
  <c r="AA146" i="24"/>
  <c r="AP143" i="24"/>
  <c r="AL146" i="24"/>
  <c r="AH146" i="24"/>
  <c r="AD146" i="24"/>
  <c r="Z146" i="24"/>
  <c r="AK146" i="24"/>
  <c r="AG146" i="24"/>
  <c r="Y146" i="24"/>
  <c r="AC146" i="24"/>
  <c r="AL171" i="24"/>
  <c r="AH171" i="24"/>
  <c r="AD171" i="24"/>
  <c r="Z171" i="24"/>
  <c r="AK171" i="24"/>
  <c r="AJ171" i="24"/>
  <c r="AF171" i="24"/>
  <c r="AB171" i="24"/>
  <c r="U171" i="24"/>
  <c r="AO165" i="24"/>
  <c r="AI171" i="24"/>
  <c r="AA171" i="24"/>
  <c r="AG171" i="24"/>
  <c r="Y171" i="24"/>
  <c r="AE171" i="24"/>
  <c r="AC171" i="24"/>
  <c r="AI242" i="24"/>
  <c r="AE242" i="24"/>
  <c r="AA242" i="24"/>
  <c r="AL242" i="24"/>
  <c r="AH242" i="24"/>
  <c r="AD242" i="24"/>
  <c r="Z242" i="24"/>
  <c r="AK242" i="24"/>
  <c r="AG242" i="24"/>
  <c r="AC242" i="24"/>
  <c r="Y242" i="24"/>
  <c r="AP239" i="24"/>
  <c r="AQ239" i="24" s="1"/>
  <c r="AB242" i="24"/>
  <c r="U242" i="24"/>
  <c r="AO239" i="24"/>
  <c r="AJ242" i="24"/>
  <c r="AF242" i="24"/>
  <c r="AK141" i="24"/>
  <c r="AG141" i="24"/>
  <c r="AC141" i="24"/>
  <c r="Y141" i="24"/>
  <c r="AJ141" i="24"/>
  <c r="AF141" i="24"/>
  <c r="AB141" i="24"/>
  <c r="U141" i="24"/>
  <c r="AP138" i="24"/>
  <c r="AI141" i="24"/>
  <c r="AE141" i="24"/>
  <c r="AA141" i="24"/>
  <c r="AH141" i="24"/>
  <c r="AD141" i="24"/>
  <c r="Z141" i="24"/>
  <c r="AL141" i="24"/>
  <c r="AP10" i="24"/>
  <c r="AO20" i="24"/>
  <c r="AO187" i="24"/>
  <c r="AP181" i="24"/>
  <c r="AL80" i="24"/>
  <c r="AH80" i="24"/>
  <c r="AD80" i="24"/>
  <c r="Z80" i="24"/>
  <c r="AK80" i="24"/>
  <c r="AG80" i="24"/>
  <c r="AC80" i="24"/>
  <c r="Y80" i="24"/>
  <c r="AP62" i="24"/>
  <c r="AJ80" i="24"/>
  <c r="AF80" i="24"/>
  <c r="AB80" i="24"/>
  <c r="U80" i="24"/>
  <c r="AI80" i="24"/>
  <c r="AE80" i="24"/>
  <c r="AA80" i="24"/>
  <c r="AJ126" i="24"/>
  <c r="AF126" i="24"/>
  <c r="AB126" i="24"/>
  <c r="U126" i="24"/>
  <c r="AO124" i="24"/>
  <c r="AI126" i="24"/>
  <c r="AE126" i="24"/>
  <c r="AA126" i="24"/>
  <c r="AL126" i="24"/>
  <c r="AH126" i="24"/>
  <c r="AD126" i="24"/>
  <c r="Z126" i="24"/>
  <c r="AK126" i="24"/>
  <c r="Y126" i="24"/>
  <c r="AG126" i="24"/>
  <c r="AC126" i="24"/>
  <c r="AK224" i="24"/>
  <c r="AG224" i="24"/>
  <c r="AC224" i="24"/>
  <c r="Y224" i="24"/>
  <c r="AJ224" i="24"/>
  <c r="AF224" i="24"/>
  <c r="AB224" i="24"/>
  <c r="U224" i="24"/>
  <c r="AP218" i="24"/>
  <c r="AI224" i="24"/>
  <c r="AE224" i="24"/>
  <c r="AA224" i="24"/>
  <c r="AO218" i="24"/>
  <c r="AL224" i="24"/>
  <c r="AH224" i="24"/>
  <c r="AD224" i="24"/>
  <c r="Z224" i="24"/>
  <c r="AJ104" i="24"/>
  <c r="AF104" i="24"/>
  <c r="AB104" i="24"/>
  <c r="U104" i="24"/>
  <c r="AI104" i="24"/>
  <c r="AE104" i="24"/>
  <c r="AA104" i="24"/>
  <c r="AL104" i="24"/>
  <c r="AH104" i="24"/>
  <c r="AD104" i="24"/>
  <c r="Z104" i="24"/>
  <c r="Y104" i="24"/>
  <c r="AK104" i="24"/>
  <c r="AO101" i="24"/>
  <c r="AG104" i="24"/>
  <c r="AC104" i="24"/>
  <c r="AK163" i="24"/>
  <c r="AJ163" i="24"/>
  <c r="AF163" i="24"/>
  <c r="AB163" i="24"/>
  <c r="U163" i="24"/>
  <c r="AO159" i="24"/>
  <c r="AI163" i="24"/>
  <c r="AE163" i="24"/>
  <c r="AA163" i="24"/>
  <c r="AH163" i="24"/>
  <c r="AD163" i="24"/>
  <c r="Z163" i="24"/>
  <c r="Y163" i="24"/>
  <c r="AL163" i="24"/>
  <c r="AG163" i="24"/>
  <c r="AC163" i="24"/>
  <c r="AK32" i="24"/>
  <c r="AG32" i="24"/>
  <c r="AC32" i="24"/>
  <c r="Y32" i="24"/>
  <c r="AJ32" i="24"/>
  <c r="AF32" i="24"/>
  <c r="AB32" i="24"/>
  <c r="U32" i="24"/>
  <c r="AI32" i="24"/>
  <c r="AE32" i="24"/>
  <c r="AA32" i="24"/>
  <c r="AO22" i="24"/>
  <c r="AD32" i="24"/>
  <c r="AH32" i="24"/>
  <c r="Z32" i="24"/>
  <c r="AL32" i="24"/>
  <c r="AJ200" i="24"/>
  <c r="AF200" i="24"/>
  <c r="AB200" i="24"/>
  <c r="U200" i="24"/>
  <c r="AO199" i="24"/>
  <c r="AI200" i="24"/>
  <c r="AE200" i="24"/>
  <c r="AA200" i="24"/>
  <c r="AL200" i="24"/>
  <c r="AH200" i="24"/>
  <c r="AD200" i="24"/>
  <c r="Z200" i="24"/>
  <c r="AG200" i="24"/>
  <c r="AC200" i="24"/>
  <c r="Y200" i="24"/>
  <c r="AP199" i="24"/>
  <c r="AK200" i="24"/>
  <c r="AK136" i="24"/>
  <c r="AG136" i="24"/>
  <c r="AC136" i="24"/>
  <c r="Y136" i="24"/>
  <c r="AJ136" i="24"/>
  <c r="AF136" i="24"/>
  <c r="AB136" i="24"/>
  <c r="U136" i="24"/>
  <c r="AP133" i="24"/>
  <c r="AI136" i="24"/>
  <c r="AE136" i="24"/>
  <c r="AA136" i="24"/>
  <c r="AL136" i="24"/>
  <c r="Z136" i="24"/>
  <c r="AH136" i="24"/>
  <c r="AD136" i="24"/>
  <c r="AJ227" i="24"/>
  <c r="AF227" i="24"/>
  <c r="AB227" i="24"/>
  <c r="U227" i="24"/>
  <c r="AO226" i="24"/>
  <c r="AI227" i="24"/>
  <c r="AE227" i="24"/>
  <c r="AA227" i="24"/>
  <c r="AL227" i="24"/>
  <c r="AH227" i="24"/>
  <c r="AD227" i="24"/>
  <c r="Z227" i="24"/>
  <c r="AG227" i="24"/>
  <c r="AC227" i="24"/>
  <c r="Y227" i="24"/>
  <c r="AP226" i="24"/>
  <c r="AK227" i="24"/>
  <c r="AK122" i="24"/>
  <c r="AG122" i="24"/>
  <c r="AC122" i="24"/>
  <c r="Y122" i="24"/>
  <c r="AJ122" i="24"/>
  <c r="AF122" i="24"/>
  <c r="AB122" i="24"/>
  <c r="U122" i="24"/>
  <c r="AO116" i="24"/>
  <c r="AI122" i="24"/>
  <c r="AE122" i="24"/>
  <c r="AA122" i="24"/>
  <c r="AH122" i="24"/>
  <c r="AD122" i="24"/>
  <c r="Z122" i="24"/>
  <c r="AL122" i="24"/>
  <c r="AL114" i="24"/>
  <c r="AH114" i="24"/>
  <c r="AD114" i="24"/>
  <c r="Z114" i="24"/>
  <c r="AK114" i="24"/>
  <c r="AG114" i="24"/>
  <c r="AC114" i="24"/>
  <c r="Y114" i="24"/>
  <c r="AJ114" i="24"/>
  <c r="AF114" i="24"/>
  <c r="AB114" i="24"/>
  <c r="U114" i="24"/>
  <c r="AO111" i="24"/>
  <c r="AE114" i="24"/>
  <c r="AA114" i="24"/>
  <c r="AI114" i="24"/>
  <c r="AJ154" i="24"/>
  <c r="AF154" i="24"/>
  <c r="AB154" i="24"/>
  <c r="U154" i="24"/>
  <c r="AI154" i="24"/>
  <c r="AE154" i="24"/>
  <c r="AA154" i="24"/>
  <c r="AP152" i="24"/>
  <c r="AL154" i="24"/>
  <c r="AH154" i="24"/>
  <c r="AD154" i="24"/>
  <c r="Z154" i="24"/>
  <c r="AC154" i="24"/>
  <c r="AG154" i="24"/>
  <c r="Y154" i="24"/>
  <c r="AK154" i="24"/>
  <c r="AK179" i="24"/>
  <c r="AG179" i="24"/>
  <c r="AC179" i="24"/>
  <c r="Y179" i="24"/>
  <c r="AJ179" i="24"/>
  <c r="AF179" i="24"/>
  <c r="AB179" i="24"/>
  <c r="U179" i="24"/>
  <c r="AO173" i="24"/>
  <c r="AI179" i="24"/>
  <c r="AE179" i="24"/>
  <c r="AA179" i="24"/>
  <c r="AL179" i="24"/>
  <c r="AH179" i="24"/>
  <c r="AD179" i="24"/>
  <c r="Z179" i="24"/>
  <c r="AI60" i="24"/>
  <c r="AE60" i="24"/>
  <c r="AA60" i="24"/>
  <c r="AL60" i="24"/>
  <c r="AH60" i="24"/>
  <c r="AD60" i="24"/>
  <c r="Z60" i="24"/>
  <c r="AP50" i="24"/>
  <c r="AK60" i="24"/>
  <c r="AG60" i="24"/>
  <c r="AC60" i="24"/>
  <c r="Y60" i="24"/>
  <c r="AF60" i="24"/>
  <c r="AJ60" i="24"/>
  <c r="AB60" i="24"/>
  <c r="U60" i="24"/>
  <c r="AK48" i="24"/>
  <c r="AG48" i="24"/>
  <c r="AC48" i="24"/>
  <c r="Y48" i="24"/>
  <c r="AJ48" i="24"/>
  <c r="AF48" i="24"/>
  <c r="AB48" i="24"/>
  <c r="U48" i="24"/>
  <c r="AI48" i="24"/>
  <c r="AE48" i="24"/>
  <c r="AA48" i="24"/>
  <c r="AD48" i="24"/>
  <c r="AH48" i="24"/>
  <c r="AP46" i="24"/>
  <c r="Z48" i="24"/>
  <c r="AL48" i="24"/>
  <c r="I15" i="4" l="1"/>
  <c r="K15" i="4" s="1"/>
  <c r="L15" i="4" s="1"/>
  <c r="M15" i="4" s="1"/>
  <c r="R27" i="8"/>
  <c r="R25" i="8"/>
  <c r="R26" i="8"/>
  <c r="I23" i="4"/>
  <c r="K23" i="4" s="1"/>
  <c r="L23" i="4" s="1"/>
  <c r="M23" i="4" s="1"/>
  <c r="R7" i="8"/>
  <c r="R22" i="8"/>
  <c r="R21" i="8"/>
  <c r="R17" i="8"/>
  <c r="R16" i="8"/>
  <c r="R20" i="8"/>
  <c r="R13" i="8"/>
  <c r="R29" i="8"/>
  <c r="R23" i="8"/>
  <c r="R19" i="8"/>
  <c r="R12" i="8"/>
  <c r="R9" i="8"/>
  <c r="R18" i="8"/>
  <c r="R10" i="8"/>
  <c r="R14" i="8"/>
  <c r="R24" i="8"/>
  <c r="R11" i="8"/>
  <c r="R8" i="8"/>
  <c r="R28" i="8"/>
  <c r="R15" i="8"/>
  <c r="R5" i="8"/>
  <c r="R6" i="8"/>
  <c r="I24" i="4"/>
  <c r="J24" i="4" s="1"/>
  <c r="I10" i="4"/>
  <c r="K10" i="4" s="1"/>
  <c r="L10" i="4" s="1"/>
  <c r="M10" i="4" s="1"/>
  <c r="I18" i="4"/>
  <c r="K18" i="4" s="1"/>
  <c r="L18" i="4" s="1"/>
  <c r="M18" i="4" s="1"/>
  <c r="I4" i="4"/>
  <c r="K4" i="4" s="1"/>
  <c r="L4" i="4" s="1"/>
  <c r="M4" i="4" s="1"/>
  <c r="I9" i="4"/>
  <c r="K9" i="4" s="1"/>
  <c r="L9" i="4" s="1"/>
  <c r="M9" i="4" s="1"/>
  <c r="I19" i="4"/>
  <c r="J19" i="4" s="1"/>
  <c r="I12" i="4"/>
  <c r="K12" i="4" s="1"/>
  <c r="L12" i="4" s="1"/>
  <c r="M12" i="4" s="1"/>
  <c r="I14" i="4"/>
  <c r="J14" i="4" s="1"/>
  <c r="I21" i="4"/>
  <c r="K21" i="4" s="1"/>
  <c r="L21" i="4" s="1"/>
  <c r="M21" i="4" s="1"/>
  <c r="I16" i="4"/>
  <c r="J16" i="4" s="1"/>
  <c r="I11" i="4"/>
  <c r="K11" i="4" s="1"/>
  <c r="L11" i="4" s="1"/>
  <c r="M11" i="4" s="1"/>
  <c r="I8" i="4"/>
  <c r="J8" i="4" s="1"/>
  <c r="I7" i="4"/>
  <c r="J7" i="4" s="1"/>
  <c r="I20" i="4"/>
  <c r="J20" i="4" s="1"/>
  <c r="I22" i="4"/>
  <c r="J22" i="4" s="1"/>
  <c r="I13" i="4"/>
  <c r="J13" i="4" s="1"/>
  <c r="I17" i="4"/>
  <c r="J17" i="4" s="1"/>
  <c r="I5" i="4"/>
  <c r="K5" i="4" s="1"/>
  <c r="L5" i="4" s="1"/>
  <c r="M5" i="4" s="1"/>
  <c r="I6" i="4"/>
  <c r="J6" i="4" s="1"/>
  <c r="S26" i="45"/>
  <c r="S43" i="45"/>
  <c r="U183" i="11"/>
  <c r="D14" i="30"/>
  <c r="D73" i="30" s="1"/>
  <c r="AC14" i="25"/>
  <c r="AC15" i="25"/>
  <c r="AD14" i="25"/>
  <c r="AD15" i="25"/>
  <c r="Y51" i="11"/>
  <c r="Z51" i="11" s="1"/>
  <c r="Y16" i="11"/>
  <c r="Z16" i="11" s="1"/>
  <c r="D71" i="30"/>
  <c r="K5" i="29"/>
  <c r="J3" i="11"/>
  <c r="K3" i="29"/>
  <c r="J5" i="12"/>
  <c r="J5" i="11"/>
  <c r="K3" i="36"/>
  <c r="J3" i="12"/>
  <c r="K5" i="36"/>
  <c r="H5" i="14"/>
  <c r="J3" i="35"/>
  <c r="H3" i="14"/>
  <c r="L5" i="30"/>
  <c r="J5" i="35"/>
  <c r="D27" i="14"/>
  <c r="C45" i="6" s="1"/>
  <c r="M6" i="23"/>
  <c r="M4" i="23"/>
  <c r="Z86" i="11"/>
  <c r="Z106" i="11"/>
  <c r="Z110" i="11"/>
  <c r="I27" i="30"/>
  <c r="T112" i="11"/>
  <c r="Z193" i="11"/>
  <c r="D11" i="30"/>
  <c r="D70" i="30" s="1"/>
  <c r="J117" i="11"/>
  <c r="Q117" i="11" s="1"/>
  <c r="Q73" i="11"/>
  <c r="R114" i="11"/>
  <c r="U114" i="11" s="1"/>
  <c r="Y114" i="11" s="1"/>
  <c r="Z114" i="11" s="1"/>
  <c r="Q96" i="11"/>
  <c r="Q95" i="11"/>
  <c r="R87" i="11"/>
  <c r="U87" i="11" s="1"/>
  <c r="Y87" i="11" s="1"/>
  <c r="Z87" i="11" s="1"/>
  <c r="R85" i="11"/>
  <c r="U85" i="11" s="1"/>
  <c r="Y85" i="11" s="1"/>
  <c r="Z85" i="11" s="1"/>
  <c r="R83" i="11"/>
  <c r="U83" i="11" s="1"/>
  <c r="Y83" i="11" s="1"/>
  <c r="Z83" i="11" s="1"/>
  <c r="T113" i="11"/>
  <c r="T114" i="11"/>
  <c r="U111" i="11"/>
  <c r="Y111" i="11" s="1"/>
  <c r="Z111" i="11" s="1"/>
  <c r="U109" i="11"/>
  <c r="Y109" i="11" s="1"/>
  <c r="Z109" i="11" s="1"/>
  <c r="R63" i="11"/>
  <c r="U63" i="11" s="1"/>
  <c r="R62" i="11"/>
  <c r="U62" i="11" s="1"/>
  <c r="R61" i="11"/>
  <c r="U61" i="11" s="1"/>
  <c r="R60" i="11"/>
  <c r="U60" i="11" s="1"/>
  <c r="R50" i="11"/>
  <c r="U50" i="11" s="1"/>
  <c r="Y50" i="11" s="1"/>
  <c r="Z50" i="11" s="1"/>
  <c r="U146" i="11"/>
  <c r="N45" i="11"/>
  <c r="R45" i="11" s="1"/>
  <c r="N46" i="11"/>
  <c r="D104" i="14"/>
  <c r="Y194" i="11"/>
  <c r="AB194" i="11" s="1"/>
  <c r="U162" i="11"/>
  <c r="X193" i="11"/>
  <c r="Y183" i="11"/>
  <c r="N107" i="11"/>
  <c r="R107" i="11" s="1"/>
  <c r="N7" i="14"/>
  <c r="T208" i="24"/>
  <c r="AK150" i="24"/>
  <c r="AK156" i="24" s="1"/>
  <c r="AH150" i="24"/>
  <c r="AH156" i="24" s="1"/>
  <c r="AJ35" i="24"/>
  <c r="AG35" i="24"/>
  <c r="AA35" i="24"/>
  <c r="U35" i="24"/>
  <c r="T35" i="24" s="1"/>
  <c r="Z35" i="24"/>
  <c r="AE35" i="24"/>
  <c r="AE41" i="24" s="1"/>
  <c r="Y35" i="24"/>
  <c r="AD35" i="24"/>
  <c r="AI35" i="24"/>
  <c r="AF35" i="24"/>
  <c r="AC35" i="24"/>
  <c r="AH35" i="24"/>
  <c r="N81" i="11"/>
  <c r="N80" i="11"/>
  <c r="AE150" i="24"/>
  <c r="AE156" i="24" s="1"/>
  <c r="N172" i="11"/>
  <c r="U172" i="11" s="1"/>
  <c r="AB35" i="24"/>
  <c r="AO34" i="24"/>
  <c r="AO35" i="24" s="1"/>
  <c r="AK35" i="24"/>
  <c r="AP39" i="24"/>
  <c r="AF150" i="24"/>
  <c r="AF156" i="24" s="1"/>
  <c r="AH39" i="24"/>
  <c r="N88" i="11"/>
  <c r="Y150" i="24"/>
  <c r="Y156" i="24" s="1"/>
  <c r="AL150" i="24"/>
  <c r="AL156" i="24" s="1"/>
  <c r="AI150" i="24"/>
  <c r="AI156" i="24" s="1"/>
  <c r="AJ150" i="24"/>
  <c r="AJ156" i="24" s="1"/>
  <c r="AG150" i="24"/>
  <c r="AG156" i="24" s="1"/>
  <c r="Z150" i="24"/>
  <c r="Z156" i="24" s="1"/>
  <c r="AP148" i="24"/>
  <c r="AP150" i="24" s="1"/>
  <c r="U150" i="24"/>
  <c r="T150" i="24" s="1"/>
  <c r="AC150" i="24"/>
  <c r="AC156" i="24" s="1"/>
  <c r="AD150" i="24"/>
  <c r="AD156" i="24" s="1"/>
  <c r="AA150" i="24"/>
  <c r="AA156" i="24" s="1"/>
  <c r="T227" i="24"/>
  <c r="N171" i="11"/>
  <c r="U171" i="11" s="1"/>
  <c r="N105" i="11"/>
  <c r="C48" i="11"/>
  <c r="C47" i="11"/>
  <c r="W71" i="23"/>
  <c r="U32" i="7"/>
  <c r="U35" i="7" s="1"/>
  <c r="U37" i="7" s="1"/>
  <c r="AI39" i="24"/>
  <c r="AO37" i="24"/>
  <c r="AP37" i="24" s="1"/>
  <c r="AQ37" i="24" s="1"/>
  <c r="AG39" i="24"/>
  <c r="AJ39" i="24"/>
  <c r="AB39" i="24"/>
  <c r="AK39" i="24"/>
  <c r="AL39" i="24"/>
  <c r="AL41" i="24" s="1"/>
  <c r="U39" i="24"/>
  <c r="Y39" i="24"/>
  <c r="Z39" i="24"/>
  <c r="AA39" i="24"/>
  <c r="AF39" i="24"/>
  <c r="AC39" i="24"/>
  <c r="AD39" i="24"/>
  <c r="T20" i="24"/>
  <c r="Y109" i="24"/>
  <c r="Y128" i="24" s="1"/>
  <c r="AK109" i="24"/>
  <c r="AK128" i="24" s="1"/>
  <c r="AK129" i="24" s="1"/>
  <c r="AI109" i="24"/>
  <c r="AI128" i="24" s="1"/>
  <c r="AI129" i="24" s="1"/>
  <c r="U109" i="24"/>
  <c r="U128" i="24" s="1"/>
  <c r="T126" i="24"/>
  <c r="U235" i="24"/>
  <c r="T235" i="24" s="1"/>
  <c r="T187" i="24"/>
  <c r="AJ109" i="24"/>
  <c r="AJ128" i="24" s="1"/>
  <c r="AJ129" i="24" s="1"/>
  <c r="Z109" i="24"/>
  <c r="Z128" i="24" s="1"/>
  <c r="Z129" i="24" s="1"/>
  <c r="AB235" i="24"/>
  <c r="AB236" i="24" s="1"/>
  <c r="T48" i="24"/>
  <c r="T60" i="24"/>
  <c r="AA109" i="24"/>
  <c r="AA128" i="24" s="1"/>
  <c r="AA129" i="24" s="1"/>
  <c r="AO106" i="24"/>
  <c r="AO109" i="24" s="1"/>
  <c r="AH109" i="24"/>
  <c r="AH128" i="24" s="1"/>
  <c r="AH129" i="24" s="1"/>
  <c r="AD235" i="24"/>
  <c r="AD236" i="24" s="1"/>
  <c r="AB109" i="24"/>
  <c r="AB128" i="24" s="1"/>
  <c r="AB129" i="24" s="1"/>
  <c r="AG109" i="24"/>
  <c r="AG128" i="24" s="1"/>
  <c r="AG129" i="24" s="1"/>
  <c r="AL109" i="24"/>
  <c r="AL128" i="24" s="1"/>
  <c r="AL129" i="24" s="1"/>
  <c r="Z235" i="24"/>
  <c r="Z236" i="24" s="1"/>
  <c r="S229" i="24"/>
  <c r="T154" i="24"/>
  <c r="T224" i="24"/>
  <c r="T179" i="24"/>
  <c r="U216" i="24"/>
  <c r="T216" i="24" s="1"/>
  <c r="AK216" i="24"/>
  <c r="AK229" i="24" s="1"/>
  <c r="U190" i="24"/>
  <c r="U192" i="24" s="1"/>
  <c r="AH216" i="24"/>
  <c r="AH229" i="24" s="1"/>
  <c r="AC190" i="24"/>
  <c r="AC192" i="24" s="1"/>
  <c r="AC193" i="24" s="1"/>
  <c r="AE216" i="24"/>
  <c r="AE229" i="24" s="1"/>
  <c r="AL190" i="24"/>
  <c r="AL192" i="24" s="1"/>
  <c r="AL193" i="24" s="1"/>
  <c r="S97" i="24"/>
  <c r="T114" i="24"/>
  <c r="AB216" i="24"/>
  <c r="AB229" i="24" s="1"/>
  <c r="Y216" i="24"/>
  <c r="Y229" i="24" s="1"/>
  <c r="AO210" i="24"/>
  <c r="AL216" i="24"/>
  <c r="AL229" i="24" s="1"/>
  <c r="AI216" i="24"/>
  <c r="AI229" i="24" s="1"/>
  <c r="AB190" i="24"/>
  <c r="AB192" i="24" s="1"/>
  <c r="AB193" i="24" s="1"/>
  <c r="AK190" i="24"/>
  <c r="AK192" i="24" s="1"/>
  <c r="AK193" i="24" s="1"/>
  <c r="AA190" i="24"/>
  <c r="AA192" i="24" s="1"/>
  <c r="AA193" i="24" s="1"/>
  <c r="T146" i="24"/>
  <c r="AF216" i="24"/>
  <c r="AF229" i="24" s="1"/>
  <c r="AC216" i="24"/>
  <c r="Z216" i="24"/>
  <c r="Z229" i="24" s="1"/>
  <c r="AP210" i="24"/>
  <c r="AQ210" i="24" s="1"/>
  <c r="AJ190" i="24"/>
  <c r="AJ192" i="24" s="1"/>
  <c r="AJ193" i="24" s="1"/>
  <c r="Z190" i="24"/>
  <c r="Z192" i="24" s="1"/>
  <c r="Z193" i="24" s="1"/>
  <c r="AE190" i="24"/>
  <c r="AE192" i="24" s="1"/>
  <c r="AE193" i="24" s="1"/>
  <c r="S192" i="24"/>
  <c r="AJ216" i="24"/>
  <c r="AJ229" i="24" s="1"/>
  <c r="AG216" i="24"/>
  <c r="AG229" i="24" s="1"/>
  <c r="AD216" i="24"/>
  <c r="AD229" i="24" s="1"/>
  <c r="AO189" i="24"/>
  <c r="AO190" i="24" s="1"/>
  <c r="Y190" i="24"/>
  <c r="Y192" i="24" s="1"/>
  <c r="AD190" i="24"/>
  <c r="AD192" i="24" s="1"/>
  <c r="AD193" i="24" s="1"/>
  <c r="S128" i="24"/>
  <c r="AN187" i="24"/>
  <c r="AN20" i="24"/>
  <c r="S156" i="24"/>
  <c r="AE109" i="24"/>
  <c r="AE128" i="24" s="1"/>
  <c r="AE129" i="24" s="1"/>
  <c r="AF109" i="24"/>
  <c r="AF128" i="24" s="1"/>
  <c r="AF129" i="24" s="1"/>
  <c r="AC109" i="24"/>
  <c r="AC128" i="24" s="1"/>
  <c r="AC129" i="24" s="1"/>
  <c r="Y235" i="24"/>
  <c r="Y236" i="24" s="1"/>
  <c r="AO232" i="24"/>
  <c r="AP232" i="24" s="1"/>
  <c r="AP235" i="24" s="1"/>
  <c r="T171" i="24"/>
  <c r="AC235" i="24"/>
  <c r="AC236" i="24" s="1"/>
  <c r="AA235" i="24"/>
  <c r="AA236" i="24" s="1"/>
  <c r="T122" i="24"/>
  <c r="S41" i="24"/>
  <c r="T141" i="24"/>
  <c r="AH235" i="24"/>
  <c r="AH236" i="24" s="1"/>
  <c r="T163" i="24"/>
  <c r="AF235" i="24"/>
  <c r="AF236" i="24" s="1"/>
  <c r="AG235" i="24"/>
  <c r="AG236" i="24" s="1"/>
  <c r="AE235" i="24"/>
  <c r="AE236" i="24" s="1"/>
  <c r="AJ235" i="24"/>
  <c r="AJ236" i="24" s="1"/>
  <c r="AK235" i="24"/>
  <c r="AK236" i="24" s="1"/>
  <c r="AL235" i="24"/>
  <c r="AL236" i="24" s="1"/>
  <c r="T80" i="24"/>
  <c r="AF190" i="24"/>
  <c r="AG190" i="24"/>
  <c r="AG192" i="24" s="1"/>
  <c r="AG193" i="24" s="1"/>
  <c r="AH190" i="24"/>
  <c r="AH192" i="24" s="1"/>
  <c r="AH193" i="24" s="1"/>
  <c r="T32" i="24"/>
  <c r="Q251" i="24"/>
  <c r="R41" i="24"/>
  <c r="Q250" i="24"/>
  <c r="Q244" i="24" s="1"/>
  <c r="AG97" i="24"/>
  <c r="AP173" i="24"/>
  <c r="AO179" i="24"/>
  <c r="AN136" i="24"/>
  <c r="AP200" i="24"/>
  <c r="AQ200" i="24" s="1"/>
  <c r="AQ199" i="24"/>
  <c r="AN141" i="24"/>
  <c r="AN208" i="24"/>
  <c r="AH97" i="24"/>
  <c r="AN179" i="24"/>
  <c r="AP154" i="24"/>
  <c r="AQ154" i="24" s="1"/>
  <c r="AQ152" i="24"/>
  <c r="AP111" i="24"/>
  <c r="AO114" i="24"/>
  <c r="AP116" i="24"/>
  <c r="AO122" i="24"/>
  <c r="AN227" i="24"/>
  <c r="AB156" i="24"/>
  <c r="AN200" i="24"/>
  <c r="AN163" i="24"/>
  <c r="AN171" i="24"/>
  <c r="AO171" i="24"/>
  <c r="AP165" i="24"/>
  <c r="AP146" i="24"/>
  <c r="AQ146" i="24" s="1"/>
  <c r="AQ143" i="24"/>
  <c r="AP208" i="24"/>
  <c r="AQ208" i="24" s="1"/>
  <c r="AQ205" i="24"/>
  <c r="AN95" i="24"/>
  <c r="Y97" i="24"/>
  <c r="AK245" i="24"/>
  <c r="AK97" i="24"/>
  <c r="AL245" i="24"/>
  <c r="AL97" i="24"/>
  <c r="U97" i="24"/>
  <c r="T95" i="24"/>
  <c r="AP227" i="24"/>
  <c r="AQ227" i="24" s="1"/>
  <c r="AQ226" i="24"/>
  <c r="AA229" i="24"/>
  <c r="T200" i="24"/>
  <c r="AN32" i="24"/>
  <c r="AO163" i="24"/>
  <c r="AP159" i="24"/>
  <c r="AO104" i="24"/>
  <c r="AP101" i="24"/>
  <c r="AN80" i="24"/>
  <c r="AQ181" i="24"/>
  <c r="AP187" i="24"/>
  <c r="AQ187" i="24" s="1"/>
  <c r="AI97" i="24"/>
  <c r="AN60" i="24"/>
  <c r="AN154" i="24"/>
  <c r="AN114" i="24"/>
  <c r="AN122" i="24"/>
  <c r="AN104" i="24"/>
  <c r="T104" i="24"/>
  <c r="AQ218" i="24"/>
  <c r="AP224" i="24"/>
  <c r="AQ224" i="24" s="1"/>
  <c r="AN126" i="24"/>
  <c r="AN242" i="24"/>
  <c r="AN146" i="24"/>
  <c r="AC97" i="24"/>
  <c r="Z97" i="24"/>
  <c r="AA97" i="24"/>
  <c r="AB97" i="24"/>
  <c r="T136" i="24"/>
  <c r="AO32" i="24"/>
  <c r="AP22" i="24"/>
  <c r="AD128" i="24"/>
  <c r="AD129" i="24" s="1"/>
  <c r="AJ97" i="24"/>
  <c r="AN48" i="24"/>
  <c r="AQ50" i="24"/>
  <c r="AP60" i="24"/>
  <c r="AQ60" i="24" s="1"/>
  <c r="AP48" i="24"/>
  <c r="AQ48" i="24" s="1"/>
  <c r="AQ46" i="24"/>
  <c r="AQ133" i="24"/>
  <c r="AP136" i="24"/>
  <c r="AQ136" i="24" s="1"/>
  <c r="AN224" i="24"/>
  <c r="AO126" i="24"/>
  <c r="AP124" i="24"/>
  <c r="AQ62" i="24"/>
  <c r="AP80" i="24"/>
  <c r="AQ80" i="24" s="1"/>
  <c r="AI192" i="24"/>
  <c r="AI193" i="24" s="1"/>
  <c r="AP20" i="24"/>
  <c r="AQ20" i="24" s="1"/>
  <c r="AQ10" i="24"/>
  <c r="AQ138" i="24"/>
  <c r="AP141" i="24"/>
  <c r="AQ141" i="24" s="1"/>
  <c r="T242" i="24"/>
  <c r="AQ242" i="24"/>
  <c r="AP95" i="24"/>
  <c r="AQ82" i="24"/>
  <c r="AD97" i="24"/>
  <c r="AE97" i="24"/>
  <c r="AF97" i="24"/>
  <c r="C24" i="6" l="1"/>
  <c r="C51" i="6" s="1"/>
  <c r="F45" i="6"/>
  <c r="J15" i="4"/>
  <c r="AM117" i="6"/>
  <c r="J23" i="4"/>
  <c r="J18" i="4"/>
  <c r="J12" i="4"/>
  <c r="K17" i="4"/>
  <c r="L17" i="4" s="1"/>
  <c r="M17" i="4" s="1"/>
  <c r="K22" i="4"/>
  <c r="L22" i="4" s="1"/>
  <c r="M22" i="4" s="1"/>
  <c r="K19" i="4"/>
  <c r="L19" i="4" s="1"/>
  <c r="M19" i="4" s="1"/>
  <c r="J4" i="4"/>
  <c r="K13" i="4"/>
  <c r="L13" i="4" s="1"/>
  <c r="M13" i="4" s="1"/>
  <c r="J21" i="4"/>
  <c r="J9" i="4"/>
  <c r="K7" i="4"/>
  <c r="L7" i="4" s="1"/>
  <c r="M7" i="4" s="1"/>
  <c r="K24" i="4"/>
  <c r="L24" i="4" s="1"/>
  <c r="M24" i="4" s="1"/>
  <c r="K8" i="4"/>
  <c r="L8" i="4" s="1"/>
  <c r="M8" i="4" s="1"/>
  <c r="K16" i="4"/>
  <c r="L16" i="4" s="1"/>
  <c r="M16" i="4" s="1"/>
  <c r="J11" i="4"/>
  <c r="J10" i="4"/>
  <c r="K20" i="4"/>
  <c r="L20" i="4" s="1"/>
  <c r="M20" i="4" s="1"/>
  <c r="I25" i="4"/>
  <c r="I28" i="4" s="1"/>
  <c r="K14" i="4"/>
  <c r="L14" i="4" s="1"/>
  <c r="M14" i="4" s="1"/>
  <c r="K6" i="4"/>
  <c r="L6" i="4" s="1"/>
  <c r="M6" i="4" s="1"/>
  <c r="J5" i="4"/>
  <c r="I86" i="30"/>
  <c r="C27" i="38"/>
  <c r="C137" i="36"/>
  <c r="C136" i="36"/>
  <c r="L27" i="30"/>
  <c r="L86" i="30" s="1"/>
  <c r="H27" i="30"/>
  <c r="H86" i="30" s="1"/>
  <c r="I28" i="30"/>
  <c r="R113" i="11"/>
  <c r="U113" i="11" s="1"/>
  <c r="Y113" i="11" s="1"/>
  <c r="Z113" i="11" s="1"/>
  <c r="T120" i="11"/>
  <c r="Z194" i="11"/>
  <c r="T117" i="11"/>
  <c r="T121" i="11" s="1"/>
  <c r="R117" i="11"/>
  <c r="U117" i="11" s="1"/>
  <c r="F93" i="11"/>
  <c r="F91" i="11"/>
  <c r="J91" i="11" s="1"/>
  <c r="Q91" i="11" s="1"/>
  <c r="X194" i="11"/>
  <c r="AA183" i="11"/>
  <c r="AA181" i="11"/>
  <c r="AA182" i="11"/>
  <c r="X183" i="11"/>
  <c r="Z183" i="11"/>
  <c r="Y172" i="11"/>
  <c r="Y171" i="11"/>
  <c r="Y60" i="11"/>
  <c r="Z60" i="11" s="1"/>
  <c r="Y61" i="11"/>
  <c r="Z61" i="11" s="1"/>
  <c r="Y62" i="11"/>
  <c r="Z62" i="11" s="1"/>
  <c r="Y63" i="11"/>
  <c r="Z63" i="11" s="1"/>
  <c r="N158" i="11"/>
  <c r="R158" i="11" s="1"/>
  <c r="S158" i="11" s="1"/>
  <c r="N94" i="11"/>
  <c r="N95" i="11" s="1"/>
  <c r="N96" i="11" s="1"/>
  <c r="N97" i="11" s="1"/>
  <c r="R80" i="11"/>
  <c r="U80" i="11" s="1"/>
  <c r="R81" i="11"/>
  <c r="U81" i="11" s="1"/>
  <c r="Y81" i="11" s="1"/>
  <c r="Z81" i="11" s="1"/>
  <c r="R88" i="11"/>
  <c r="U88" i="11" s="1"/>
  <c r="Y88" i="11" s="1"/>
  <c r="Z88" i="11" s="1"/>
  <c r="R112" i="11"/>
  <c r="U112" i="11" s="1"/>
  <c r="Y112" i="11" s="1"/>
  <c r="Z112" i="11" s="1"/>
  <c r="N118" i="11"/>
  <c r="N119" i="11" s="1"/>
  <c r="N120" i="11" s="1"/>
  <c r="N121" i="11" s="1"/>
  <c r="R105" i="11"/>
  <c r="U105" i="11" s="1"/>
  <c r="U119" i="11" s="1"/>
  <c r="U107" i="11"/>
  <c r="Y162" i="11"/>
  <c r="Y146" i="11"/>
  <c r="K157" i="11"/>
  <c r="K158" i="11"/>
  <c r="K156" i="11"/>
  <c r="K155" i="11"/>
  <c r="R46" i="11"/>
  <c r="U46" i="11" s="1"/>
  <c r="Y46" i="11" s="1"/>
  <c r="Z46" i="11" s="1"/>
  <c r="K148" i="11"/>
  <c r="T148" i="11" s="1"/>
  <c r="AC148" i="11" s="1"/>
  <c r="U45" i="11"/>
  <c r="Y45" i="11" s="1"/>
  <c r="Z45" i="11" s="1"/>
  <c r="N157" i="11"/>
  <c r="R157" i="11" s="1"/>
  <c r="S157" i="11" s="1"/>
  <c r="N155" i="11"/>
  <c r="R155" i="11" s="1"/>
  <c r="S155" i="11" s="1"/>
  <c r="W72" i="23"/>
  <c r="N64" i="11"/>
  <c r="N156" i="11"/>
  <c r="R156" i="11" s="1"/>
  <c r="O7" i="14"/>
  <c r="N9" i="14"/>
  <c r="E21" i="12" s="1"/>
  <c r="T109" i="24"/>
  <c r="AQ235" i="24"/>
  <c r="AE260" i="24"/>
  <c r="AH41" i="24"/>
  <c r="AH42" i="24" s="1"/>
  <c r="AH251" i="24" s="1"/>
  <c r="AA41" i="24"/>
  <c r="AA250" i="24" s="1"/>
  <c r="U41" i="24"/>
  <c r="U250" i="24" s="1"/>
  <c r="AD41" i="24"/>
  <c r="AD42" i="24" s="1"/>
  <c r="AD251" i="24" s="1"/>
  <c r="Z41" i="24"/>
  <c r="Z42" i="24" s="1"/>
  <c r="S245" i="24"/>
  <c r="AG41" i="24"/>
  <c r="AG250" i="24" s="1"/>
  <c r="AI41" i="24"/>
  <c r="AI42" i="24" s="1"/>
  <c r="AI251" i="24" s="1"/>
  <c r="AQ148" i="24"/>
  <c r="AJ41" i="24"/>
  <c r="AJ250" i="24" s="1"/>
  <c r="AJ244" i="24" s="1"/>
  <c r="AJ247" i="24" s="1"/>
  <c r="AP34" i="24"/>
  <c r="AQ34" i="24" s="1"/>
  <c r="AC41" i="24"/>
  <c r="AC250" i="24" s="1"/>
  <c r="Y41" i="24"/>
  <c r="Y250" i="24" s="1"/>
  <c r="AB41" i="24"/>
  <c r="AB42" i="24" s="1"/>
  <c r="AB251" i="24" s="1"/>
  <c r="AN35" i="24"/>
  <c r="AQ150" i="24"/>
  <c r="U156" i="24"/>
  <c r="AQ156" i="24" s="1"/>
  <c r="AF41" i="24"/>
  <c r="AF42" i="24" s="1"/>
  <c r="AK41" i="24"/>
  <c r="AK42" i="24" s="1"/>
  <c r="AK251" i="24" s="1"/>
  <c r="U36" i="7"/>
  <c r="U38" i="7" s="1"/>
  <c r="T39" i="24"/>
  <c r="AN150" i="24"/>
  <c r="AP189" i="24"/>
  <c r="AQ189" i="24" s="1"/>
  <c r="AQ39" i="24"/>
  <c r="AN39" i="24"/>
  <c r="T190" i="24"/>
  <c r="AP106" i="24"/>
  <c r="AP109" i="24" s="1"/>
  <c r="AQ109" i="24" s="1"/>
  <c r="AQ232" i="24"/>
  <c r="S251" i="24"/>
  <c r="R251" i="24" s="1"/>
  <c r="T128" i="24"/>
  <c r="AP216" i="24"/>
  <c r="AQ216" i="24" s="1"/>
  <c r="T192" i="24"/>
  <c r="U229" i="24"/>
  <c r="AQ229" i="24" s="1"/>
  <c r="S250" i="24"/>
  <c r="R250" i="24" s="1"/>
  <c r="AN216" i="24"/>
  <c r="AC229" i="24"/>
  <c r="AC245" i="24" s="1"/>
  <c r="AN190" i="24"/>
  <c r="AN235" i="24"/>
  <c r="AN236" i="24"/>
  <c r="AN109" i="24"/>
  <c r="AF192" i="24"/>
  <c r="AF193" i="24" s="1"/>
  <c r="Q246" i="24"/>
  <c r="R246" i="24" s="1"/>
  <c r="R244" i="24"/>
  <c r="Q252" i="24"/>
  <c r="AB245" i="24"/>
  <c r="AA245" i="24"/>
  <c r="AD245" i="24"/>
  <c r="AG245" i="24"/>
  <c r="Z245" i="24"/>
  <c r="AE250" i="24"/>
  <c r="AE42" i="24"/>
  <c r="AE251" i="24" s="1"/>
  <c r="AN128" i="24"/>
  <c r="Y129" i="24"/>
  <c r="AN129" i="24" s="1"/>
  <c r="AI245" i="24"/>
  <c r="AP163" i="24"/>
  <c r="AQ163" i="24" s="1"/>
  <c r="AQ159" i="24"/>
  <c r="Y193" i="24"/>
  <c r="AQ111" i="24"/>
  <c r="AP114" i="24"/>
  <c r="AQ114" i="24" s="1"/>
  <c r="AN156" i="24"/>
  <c r="AP171" i="24"/>
  <c r="AQ171" i="24" s="1"/>
  <c r="AQ165" i="24"/>
  <c r="AH245" i="24"/>
  <c r="AP122" i="24"/>
  <c r="AQ122" i="24" s="1"/>
  <c r="AQ116" i="24"/>
  <c r="AF245" i="24"/>
  <c r="AP97" i="24"/>
  <c r="AQ97" i="24" s="1"/>
  <c r="AQ95" i="24"/>
  <c r="AJ245" i="24"/>
  <c r="AQ101" i="24"/>
  <c r="AP104" i="24"/>
  <c r="T97" i="24"/>
  <c r="AE245" i="24"/>
  <c r="AQ124" i="24"/>
  <c r="AP126" i="24"/>
  <c r="AQ126" i="24" s="1"/>
  <c r="AP32" i="24"/>
  <c r="AQ32" i="24" s="1"/>
  <c r="AQ22" i="24"/>
  <c r="Y245" i="24"/>
  <c r="AN97" i="24"/>
  <c r="AL250" i="24"/>
  <c r="AL244" i="24" s="1"/>
  <c r="AL246" i="24" s="1"/>
  <c r="AL42" i="24"/>
  <c r="AL251" i="24" s="1"/>
  <c r="AP179" i="24"/>
  <c r="AQ179" i="24" s="1"/>
  <c r="AQ173" i="24"/>
  <c r="C6" i="4" l="1"/>
  <c r="S33" i="45"/>
  <c r="AL117" i="6"/>
  <c r="I26" i="4"/>
  <c r="J25" i="4"/>
  <c r="M25" i="4"/>
  <c r="M26" i="4" s="1"/>
  <c r="K25" i="4"/>
  <c r="K27" i="4" s="1"/>
  <c r="L25" i="4"/>
  <c r="L28" i="4" s="1"/>
  <c r="H28" i="30"/>
  <c r="K28" i="30" s="1"/>
  <c r="K87" i="30" s="1"/>
  <c r="C28" i="38"/>
  <c r="D30" i="14"/>
  <c r="L28" i="30"/>
  <c r="L87" i="30" s="1"/>
  <c r="I87" i="30"/>
  <c r="K27" i="30"/>
  <c r="K86" i="30" s="1"/>
  <c r="Y80" i="11"/>
  <c r="U95" i="11"/>
  <c r="T122" i="11"/>
  <c r="Y117" i="11"/>
  <c r="U121" i="11"/>
  <c r="Y107" i="11"/>
  <c r="Z107" i="11" s="1"/>
  <c r="R91" i="11"/>
  <c r="U91" i="11" s="1"/>
  <c r="T91" i="11"/>
  <c r="J93" i="11"/>
  <c r="Q93" i="11" s="1"/>
  <c r="AA171" i="11"/>
  <c r="AA172" i="11"/>
  <c r="Z171" i="11"/>
  <c r="Z172" i="11"/>
  <c r="Z162" i="11"/>
  <c r="Z146" i="11"/>
  <c r="Y105" i="11"/>
  <c r="T158" i="11"/>
  <c r="T118" i="11"/>
  <c r="T156" i="11"/>
  <c r="R64" i="11"/>
  <c r="U64" i="11" s="1"/>
  <c r="U148" i="11"/>
  <c r="U47" i="11"/>
  <c r="K145" i="11" s="1"/>
  <c r="T145" i="11" s="1"/>
  <c r="AC145" i="11" s="1"/>
  <c r="T157" i="11"/>
  <c r="AC157" i="11" s="1"/>
  <c r="S156" i="11"/>
  <c r="S159" i="11" s="1"/>
  <c r="C18" i="6" s="1"/>
  <c r="R159" i="11"/>
  <c r="G155" i="11"/>
  <c r="T155" i="11" s="1"/>
  <c r="E23" i="12"/>
  <c r="P7" i="14"/>
  <c r="O9" i="14"/>
  <c r="E24" i="12" s="1"/>
  <c r="E22" i="12"/>
  <c r="AC260" i="24"/>
  <c r="AA260" i="24"/>
  <c r="AB260" i="24"/>
  <c r="AD260" i="24"/>
  <c r="Z260" i="24"/>
  <c r="Y260" i="24"/>
  <c r="AC244" i="24"/>
  <c r="AC246" i="24" s="1"/>
  <c r="AG244" i="24"/>
  <c r="AG246" i="24" s="1"/>
  <c r="AE244" i="24"/>
  <c r="AA244" i="24"/>
  <c r="AH250" i="24"/>
  <c r="AH244" i="24" s="1"/>
  <c r="AH247" i="24" s="1"/>
  <c r="U251" i="24"/>
  <c r="T251" i="24" s="1"/>
  <c r="AI250" i="24"/>
  <c r="T41" i="24"/>
  <c r="AA42" i="24"/>
  <c r="AA251" i="24" s="1"/>
  <c r="H6" i="25" s="1"/>
  <c r="Z250" i="24"/>
  <c r="Z244" i="24" s="1"/>
  <c r="Z247" i="24" s="1"/>
  <c r="AD250" i="24"/>
  <c r="AD244" i="24" s="1"/>
  <c r="AD247" i="24" s="1"/>
  <c r="AG42" i="24"/>
  <c r="AG251" i="24" s="1"/>
  <c r="K6" i="25" s="1"/>
  <c r="Y42" i="24"/>
  <c r="Y251" i="24" s="1"/>
  <c r="AC42" i="24"/>
  <c r="AC251" i="24" s="1"/>
  <c r="AC252" i="24" s="1"/>
  <c r="AJ42" i="24"/>
  <c r="AJ251" i="24" s="1"/>
  <c r="AJ252" i="24" s="1"/>
  <c r="AP35" i="24"/>
  <c r="AQ35" i="24" s="1"/>
  <c r="AK250" i="24"/>
  <c r="AN41" i="24"/>
  <c r="AB250" i="24"/>
  <c r="AB244" i="24" s="1"/>
  <c r="AB247" i="24" s="1"/>
  <c r="T156" i="24"/>
  <c r="AP190" i="24"/>
  <c r="AQ190" i="24" s="1"/>
  <c r="AQ106" i="24"/>
  <c r="T229" i="24"/>
  <c r="U245" i="24"/>
  <c r="T245" i="24" s="1"/>
  <c r="AN229" i="24"/>
  <c r="S252" i="24"/>
  <c r="S244" i="24"/>
  <c r="S246" i="24" s="1"/>
  <c r="S1" i="24" s="1"/>
  <c r="AF250" i="24"/>
  <c r="AF244" i="24" s="1"/>
  <c r="AF247" i="24" s="1"/>
  <c r="AN192" i="24"/>
  <c r="AN193" i="24"/>
  <c r="AF251" i="24"/>
  <c r="AJ246" i="24"/>
  <c r="AL252" i="24"/>
  <c r="AL3" i="24" s="1"/>
  <c r="Y244" i="24"/>
  <c r="U244" i="24"/>
  <c r="T250" i="24"/>
  <c r="Z251" i="24"/>
  <c r="AE252" i="24"/>
  <c r="AP245" i="24"/>
  <c r="AQ104" i="24"/>
  <c r="AP128" i="24"/>
  <c r="AQ128" i="24" s="1"/>
  <c r="C42" i="6" l="1"/>
  <c r="C38" i="6" s="1"/>
  <c r="AL118" i="6"/>
  <c r="M27" i="4"/>
  <c r="M28" i="4"/>
  <c r="K28" i="4"/>
  <c r="K26" i="4"/>
  <c r="L26" i="4"/>
  <c r="L27" i="4"/>
  <c r="S47" i="45"/>
  <c r="F92" i="11"/>
  <c r="J92" i="11" s="1"/>
  <c r="Q92" i="11" s="1"/>
  <c r="R92" i="11" s="1"/>
  <c r="U92" i="11" s="1"/>
  <c r="W55" i="23"/>
  <c r="D22" i="29" s="1"/>
  <c r="H87" i="30"/>
  <c r="C49" i="11"/>
  <c r="N49" i="11" s="1"/>
  <c r="R49" i="11" s="1"/>
  <c r="U49" i="11" s="1"/>
  <c r="Y49" i="11" s="1"/>
  <c r="Z49" i="11" s="1"/>
  <c r="W53" i="23"/>
  <c r="W54" i="23"/>
  <c r="W21" i="23"/>
  <c r="Y119" i="11"/>
  <c r="Z105" i="11"/>
  <c r="Z119" i="11" s="1"/>
  <c r="Y121" i="11"/>
  <c r="Z117" i="11"/>
  <c r="Y95" i="11"/>
  <c r="Z80" i="11"/>
  <c r="Z95" i="11" s="1"/>
  <c r="R93" i="11"/>
  <c r="U93" i="11" s="1"/>
  <c r="Y93" i="11" s="1"/>
  <c r="Z93" i="11" s="1"/>
  <c r="T93" i="11"/>
  <c r="Y91" i="11"/>
  <c r="Z91" i="11" s="1"/>
  <c r="U156" i="11"/>
  <c r="Y156" i="11" s="1"/>
  <c r="AC156" i="11"/>
  <c r="U158" i="11"/>
  <c r="Y158" i="11" s="1"/>
  <c r="AC158" i="11"/>
  <c r="U155" i="11"/>
  <c r="AC155" i="11"/>
  <c r="Y64" i="11"/>
  <c r="Z64" i="11" s="1"/>
  <c r="Y148" i="11"/>
  <c r="U65" i="11"/>
  <c r="U145" i="11"/>
  <c r="Y145" i="11" s="1"/>
  <c r="Y47" i="11"/>
  <c r="Z47" i="11" s="1"/>
  <c r="U157" i="11"/>
  <c r="P9" i="14"/>
  <c r="E25" i="12" s="1"/>
  <c r="Q7" i="14"/>
  <c r="Q9" i="14" s="1"/>
  <c r="E26" i="12" s="1"/>
  <c r="Z246" i="24"/>
  <c r="AG260" i="24"/>
  <c r="AK244" i="24"/>
  <c r="AE258" i="24"/>
  <c r="Y259" i="24"/>
  <c r="Z259" i="24"/>
  <c r="AB259" i="24"/>
  <c r="AC259" i="24"/>
  <c r="AA259" i="24"/>
  <c r="AH252" i="24"/>
  <c r="AA247" i="24"/>
  <c r="AE247" i="24"/>
  <c r="AG247" i="24"/>
  <c r="AC247" i="24"/>
  <c r="AC3" i="24" s="1"/>
  <c r="AA246" i="24"/>
  <c r="AE246" i="24"/>
  <c r="Z258" i="24"/>
  <c r="AC258" i="24"/>
  <c r="AI244" i="24"/>
  <c r="AD258" i="24"/>
  <c r="AB258" i="24"/>
  <c r="AA258" i="24"/>
  <c r="Y258" i="24"/>
  <c r="AH246" i="24"/>
  <c r="K7" i="25" s="1"/>
  <c r="U252" i="24"/>
  <c r="AA252" i="24"/>
  <c r="AI252" i="24"/>
  <c r="AP41" i="24"/>
  <c r="AQ41" i="24" s="1"/>
  <c r="Z252" i="24"/>
  <c r="S3" i="24"/>
  <c r="AD252" i="24"/>
  <c r="AD246" i="24"/>
  <c r="I7" i="25" s="1"/>
  <c r="AG252" i="24"/>
  <c r="AN42" i="24"/>
  <c r="I6" i="25"/>
  <c r="AP192" i="24"/>
  <c r="AQ192" i="24" s="1"/>
  <c r="L6" i="25"/>
  <c r="AK252" i="24"/>
  <c r="AB246" i="24"/>
  <c r="AB252" i="24"/>
  <c r="AF246" i="24"/>
  <c r="AO250" i="24"/>
  <c r="AO249" i="24" s="1"/>
  <c r="AF252" i="24"/>
  <c r="J6" i="25"/>
  <c r="AJ3" i="24"/>
  <c r="Y252" i="24"/>
  <c r="AO251" i="24"/>
  <c r="G6" i="25"/>
  <c r="U246" i="24"/>
  <c r="T244" i="24"/>
  <c r="Y246" i="24"/>
  <c r="X29" i="8"/>
  <c r="X25" i="8"/>
  <c r="X21" i="8"/>
  <c r="X17" i="8"/>
  <c r="X26" i="8"/>
  <c r="X22" i="8"/>
  <c r="X18" i="8"/>
  <c r="X27" i="8"/>
  <c r="X23" i="8"/>
  <c r="X19" i="8"/>
  <c r="X28" i="8"/>
  <c r="X14" i="8"/>
  <c r="X10" i="8"/>
  <c r="X15" i="8"/>
  <c r="X11" i="8"/>
  <c r="X20" i="8"/>
  <c r="X16" i="8"/>
  <c r="X12" i="8"/>
  <c r="X8" i="8"/>
  <c r="X24" i="8"/>
  <c r="X13" i="8"/>
  <c r="X9" i="8"/>
  <c r="X6" i="8"/>
  <c r="X7" i="8"/>
  <c r="X5" i="8"/>
  <c r="F38" i="6" l="1"/>
  <c r="C39" i="6"/>
  <c r="C53" i="6" s="1"/>
  <c r="U159" i="11"/>
  <c r="Y155" i="11"/>
  <c r="Z155" i="11" s="1"/>
  <c r="S48" i="45"/>
  <c r="T92" i="11"/>
  <c r="T94" i="11" s="1"/>
  <c r="Q94" i="11" s="1"/>
  <c r="N25" i="11"/>
  <c r="W56" i="23" s="1"/>
  <c r="Z121" i="11"/>
  <c r="U97" i="11"/>
  <c r="R95" i="11"/>
  <c r="Y92" i="11"/>
  <c r="Z92" i="11" s="1"/>
  <c r="Z145" i="11"/>
  <c r="Z148" i="11"/>
  <c r="Z158" i="11"/>
  <c r="Z156" i="11"/>
  <c r="X47" i="11"/>
  <c r="Y131" i="11"/>
  <c r="Y157" i="11"/>
  <c r="Y65" i="11"/>
  <c r="Z65" i="11" s="1"/>
  <c r="K147" i="11"/>
  <c r="T147" i="11" s="1"/>
  <c r="Z3" i="24"/>
  <c r="R7" i="14"/>
  <c r="S7" i="14" s="1"/>
  <c r="S9" i="14" s="1"/>
  <c r="AE3" i="24"/>
  <c r="J7" i="25"/>
  <c r="Z261" i="24"/>
  <c r="AA261" i="24"/>
  <c r="Y261" i="24"/>
  <c r="AB261" i="24"/>
  <c r="AC261" i="24"/>
  <c r="AG258" i="24"/>
  <c r="AK246" i="24"/>
  <c r="AE259" i="24"/>
  <c r="AE261" i="24" s="1"/>
  <c r="AH3" i="24"/>
  <c r="AA3" i="24"/>
  <c r="H7" i="25"/>
  <c r="AP244" i="24"/>
  <c r="AQ244" i="24" s="1"/>
  <c r="AG3" i="24"/>
  <c r="AI246" i="24"/>
  <c r="L7" i="25" s="1"/>
  <c r="AC7" i="25" s="1"/>
  <c r="AD259" i="24"/>
  <c r="AI247" i="24"/>
  <c r="U3" i="24"/>
  <c r="AP250" i="24"/>
  <c r="AQ250" i="24" s="1"/>
  <c r="AD3" i="24"/>
  <c r="AB3" i="24"/>
  <c r="AD6" i="25"/>
  <c r="AN250" i="24"/>
  <c r="AF3" i="24"/>
  <c r="AO252" i="24"/>
  <c r="AO3" i="24" s="1"/>
  <c r="AN251" i="24"/>
  <c r="G7" i="25"/>
  <c r="Y3" i="24"/>
  <c r="T246" i="24"/>
  <c r="U1" i="24"/>
  <c r="C23" i="6" l="1"/>
  <c r="C25" i="6" s="1"/>
  <c r="AB98" i="6" s="1"/>
  <c r="C46" i="6"/>
  <c r="C71" i="6" s="1"/>
  <c r="F39" i="6"/>
  <c r="T97" i="11"/>
  <c r="T98" i="11" s="1"/>
  <c r="H14" i="30"/>
  <c r="Z131" i="11"/>
  <c r="Y97" i="11"/>
  <c r="Z97" i="11"/>
  <c r="R97" i="11"/>
  <c r="Z157" i="11"/>
  <c r="U147" i="11"/>
  <c r="U149" i="11" s="1"/>
  <c r="AC147" i="11"/>
  <c r="X65" i="11"/>
  <c r="Y159" i="11"/>
  <c r="X159" i="11" s="1"/>
  <c r="Y128" i="11"/>
  <c r="R25" i="11"/>
  <c r="U25" i="11" s="1"/>
  <c r="Y25" i="11" s="1"/>
  <c r="Z25" i="11" s="1"/>
  <c r="E28" i="12"/>
  <c r="E12" i="12" s="1"/>
  <c r="R9" i="14"/>
  <c r="E27" i="12" s="1"/>
  <c r="E29" i="12"/>
  <c r="AD261" i="24"/>
  <c r="AG261" i="24" s="1"/>
  <c r="AG259" i="24"/>
  <c r="AP246" i="24"/>
  <c r="W62" i="23" s="1"/>
  <c r="AK3" i="24"/>
  <c r="AI3" i="24"/>
  <c r="AN3" i="24"/>
  <c r="G8" i="25"/>
  <c r="H8" i="25" s="1"/>
  <c r="I8" i="25" s="1"/>
  <c r="J8" i="25" s="1"/>
  <c r="K8" i="25" s="1"/>
  <c r="L8" i="25" s="1"/>
  <c r="M8" i="25" s="1"/>
  <c r="N8" i="25" s="1"/>
  <c r="O8" i="25" s="1"/>
  <c r="P8" i="25" s="1"/>
  <c r="Q8" i="25" s="1"/>
  <c r="R8" i="25" s="1"/>
  <c r="S8" i="25" s="1"/>
  <c r="T8" i="25" s="1"/>
  <c r="U8" i="25" s="1"/>
  <c r="V8" i="25" s="1"/>
  <c r="W8" i="25" s="1"/>
  <c r="X8" i="25" s="1"/>
  <c r="Y8" i="25" s="1"/>
  <c r="Z8" i="25" s="1"/>
  <c r="AA8" i="25" s="1"/>
  <c r="AD7" i="25"/>
  <c r="G9" i="25"/>
  <c r="H9" i="25" s="1"/>
  <c r="I9" i="25" s="1"/>
  <c r="J9" i="25" s="1"/>
  <c r="K9" i="25" s="1"/>
  <c r="L9" i="25" s="1"/>
  <c r="AB93" i="6" l="1"/>
  <c r="AB94" i="6"/>
  <c r="C5" i="4"/>
  <c r="AB97" i="6"/>
  <c r="C44" i="6"/>
  <c r="B98" i="6" s="1"/>
  <c r="Q97" i="11"/>
  <c r="E3" i="23"/>
  <c r="K14" i="30"/>
  <c r="K73" i="30" s="1"/>
  <c r="C14" i="38"/>
  <c r="I14" i="30"/>
  <c r="I73" i="30" s="1"/>
  <c r="H73" i="30"/>
  <c r="H11" i="30"/>
  <c r="Z128" i="11"/>
  <c r="Z159" i="11"/>
  <c r="Y147" i="11"/>
  <c r="Y133" i="11"/>
  <c r="Y189" i="11"/>
  <c r="AB189" i="11" s="1"/>
  <c r="U28" i="11"/>
  <c r="U52" i="11" s="1"/>
  <c r="AP247" i="24"/>
  <c r="AP3" i="24" s="1"/>
  <c r="AP1" i="24"/>
  <c r="L10" i="25"/>
  <c r="M9" i="25"/>
  <c r="N9" i="25" s="1"/>
  <c r="O9" i="25" s="1"/>
  <c r="P9" i="25" s="1"/>
  <c r="Q9" i="25" s="1"/>
  <c r="R9" i="25" s="1"/>
  <c r="S9" i="25" s="1"/>
  <c r="T9" i="25" s="1"/>
  <c r="U9" i="25" s="1"/>
  <c r="V9" i="25" s="1"/>
  <c r="W9" i="25" s="1"/>
  <c r="X9" i="25" s="1"/>
  <c r="Y9" i="25" s="1"/>
  <c r="Z9" i="25" s="1"/>
  <c r="AA9" i="25" s="1"/>
  <c r="B91" i="6" l="1"/>
  <c r="B89" i="6"/>
  <c r="H70" i="30"/>
  <c r="C11" i="38"/>
  <c r="I11" i="30"/>
  <c r="I70" i="30" s="1"/>
  <c r="K11" i="30"/>
  <c r="K70" i="30" s="1"/>
  <c r="L14" i="30"/>
  <c r="L73" i="30" s="1"/>
  <c r="H16" i="30"/>
  <c r="Z133" i="11"/>
  <c r="I23" i="30"/>
  <c r="Z189" i="11"/>
  <c r="X189" i="11"/>
  <c r="Z147" i="11"/>
  <c r="Y149" i="11"/>
  <c r="X149" i="11" s="1"/>
  <c r="Y28" i="11"/>
  <c r="Z28" i="11" s="1"/>
  <c r="M10" i="25"/>
  <c r="I82" i="30" l="1"/>
  <c r="C23" i="38"/>
  <c r="H75" i="30"/>
  <c r="C16" i="38"/>
  <c r="L11" i="30"/>
  <c r="L70" i="30" s="1"/>
  <c r="I16" i="30"/>
  <c r="I75" i="30" s="1"/>
  <c r="K16" i="30"/>
  <c r="K75" i="30" s="1"/>
  <c r="H23" i="30"/>
  <c r="K23" i="30" s="1"/>
  <c r="K82" i="30" s="1"/>
  <c r="L23" i="30"/>
  <c r="L82" i="30" s="1"/>
  <c r="Z149" i="11"/>
  <c r="Y187" i="11"/>
  <c r="AB187" i="11" s="1"/>
  <c r="X28" i="11"/>
  <c r="Y52" i="11"/>
  <c r="Z52" i="11" s="1"/>
  <c r="L16" i="30" l="1"/>
  <c r="L75" i="30" s="1"/>
  <c r="H82" i="30"/>
  <c r="I21" i="30"/>
  <c r="C21" i="38" s="1"/>
  <c r="Z187" i="11"/>
  <c r="X187" i="11"/>
  <c r="X52" i="11"/>
  <c r="Y126" i="11"/>
  <c r="I80" i="30" l="1"/>
  <c r="H9" i="30"/>
  <c r="Z126" i="11"/>
  <c r="H21" i="30"/>
  <c r="H80" i="30" s="1"/>
  <c r="L21" i="30"/>
  <c r="L80" i="30" s="1"/>
  <c r="I9" i="30" l="1"/>
  <c r="I68" i="30" s="1"/>
  <c r="C9" i="38"/>
  <c r="H68" i="30"/>
  <c r="K9" i="30"/>
  <c r="K68" i="30" s="1"/>
  <c r="K21" i="30"/>
  <c r="K80" i="30" s="1"/>
  <c r="AC166" i="11"/>
  <c r="L9" i="30" l="1"/>
  <c r="L68" i="30" s="1"/>
  <c r="K55" i="45" l="1"/>
  <c r="K56" i="45" s="1"/>
  <c r="Q27" i="45"/>
  <c r="G55" i="45"/>
  <c r="G56" i="45" s="1"/>
  <c r="O55" i="45"/>
  <c r="O56" i="45" s="1"/>
  <c r="Q59" i="45"/>
  <c r="O59" i="45"/>
  <c r="M55" i="45"/>
  <c r="M56" i="45" s="1"/>
  <c r="F55" i="45"/>
  <c r="F56" i="45" s="1"/>
  <c r="AE55" i="45"/>
  <c r="AE56" i="45" s="1"/>
  <c r="H55" i="45"/>
  <c r="H56" i="45" s="1"/>
  <c r="I55" i="45"/>
  <c r="I56" i="45" s="1"/>
  <c r="N55" i="45"/>
  <c r="N56" i="45" s="1"/>
  <c r="N26" i="45"/>
  <c r="N27" i="45" s="1"/>
  <c r="N5" i="45" s="1"/>
  <c r="L55" i="45"/>
  <c r="L56" i="45" s="1"/>
  <c r="J55" i="45"/>
  <c r="J56" i="45" s="1"/>
  <c r="AE59" i="45"/>
  <c r="Q56" i="45" l="1"/>
  <c r="Q5" i="45" s="1"/>
  <c r="N59" i="45"/>
  <c r="O26" i="45"/>
  <c r="O27" i="45" s="1"/>
  <c r="O5" i="45" s="1"/>
  <c r="AE26" i="45"/>
  <c r="AE27" i="45" s="1"/>
  <c r="AE5" i="45" s="1"/>
  <c r="A14" i="45" l="1"/>
  <c r="A15" i="45" s="1"/>
  <c r="B14" i="45" l="1"/>
  <c r="B15" i="45"/>
  <c r="A16" i="45"/>
  <c r="A18" i="45" s="1"/>
  <c r="B18" i="45" s="1"/>
  <c r="B16" i="45" l="1"/>
  <c r="A19" i="45"/>
  <c r="B19" i="45" l="1"/>
  <c r="A20" i="45"/>
  <c r="A21" i="45" l="1"/>
  <c r="B20" i="45"/>
  <c r="B21" i="45" l="1"/>
  <c r="A22" i="45"/>
  <c r="B22" i="45" l="1"/>
  <c r="A23" i="45"/>
  <c r="A24" i="45" l="1"/>
  <c r="B23" i="45"/>
  <c r="A25" i="45" l="1"/>
  <c r="B24" i="45"/>
  <c r="A26" i="45" l="1"/>
  <c r="B25" i="45"/>
  <c r="A27" i="45" l="1"/>
  <c r="B26" i="45"/>
  <c r="B27" i="45" l="1"/>
  <c r="A28" i="45"/>
  <c r="A29" i="45" l="1"/>
  <c r="B28" i="45"/>
  <c r="B29" i="45" l="1"/>
  <c r="A30" i="45"/>
  <c r="B30" i="45" l="1"/>
  <c r="A31" i="45"/>
  <c r="B31" i="45" l="1"/>
  <c r="A32" i="45"/>
  <c r="A33" i="45" l="1"/>
  <c r="B32" i="45"/>
  <c r="A34" i="45" l="1"/>
  <c r="B33" i="45"/>
  <c r="B34" i="45" l="1"/>
  <c r="A35" i="45"/>
  <c r="A36" i="45" l="1"/>
  <c r="B35" i="45"/>
  <c r="A37" i="45" l="1"/>
  <c r="B36" i="45"/>
  <c r="A38" i="45" l="1"/>
  <c r="B37" i="45"/>
  <c r="B38" i="45" l="1"/>
  <c r="A39" i="45"/>
  <c r="B39" i="45" l="1"/>
  <c r="A40" i="45"/>
  <c r="B40" i="45" l="1"/>
  <c r="A41" i="45"/>
  <c r="B41" i="45" l="1"/>
  <c r="A42" i="45"/>
  <c r="B42" i="45" l="1"/>
  <c r="A43" i="45"/>
  <c r="B43" i="45" l="1"/>
  <c r="A44" i="45"/>
  <c r="B44" i="45" l="1"/>
  <c r="A45" i="45"/>
  <c r="B45" i="45" l="1"/>
  <c r="A46" i="45"/>
  <c r="A47" i="45" l="1"/>
  <c r="B46" i="45"/>
  <c r="A48" i="45" l="1"/>
  <c r="B47" i="45"/>
  <c r="A49" i="45" l="1"/>
  <c r="B48" i="45"/>
  <c r="A50" i="45" l="1"/>
  <c r="B49" i="45"/>
  <c r="A51" i="45" l="1"/>
  <c r="B50" i="45"/>
  <c r="B51" i="45" l="1"/>
  <c r="A52" i="45"/>
  <c r="B52" i="45" l="1"/>
  <c r="A53" i="45"/>
  <c r="B53" i="45" l="1"/>
  <c r="A54" i="45"/>
  <c r="B54" i="45" l="1"/>
  <c r="A55" i="45"/>
  <c r="B55" i="45" l="1"/>
  <c r="A56" i="45"/>
  <c r="A57" i="45" l="1"/>
  <c r="B56" i="45"/>
  <c r="B57" i="45" l="1"/>
  <c r="A58" i="45"/>
  <c r="A59" i="45" l="1"/>
  <c r="B58" i="45"/>
  <c r="A60" i="45" l="1"/>
  <c r="B59" i="45"/>
  <c r="A61" i="45" l="1"/>
  <c r="B60" i="45"/>
  <c r="A62" i="45" l="1"/>
  <c r="B61" i="45"/>
  <c r="A63" i="45" l="1"/>
  <c r="B63" i="45" s="1"/>
  <c r="B62" i="45"/>
  <c r="AL49" i="30" l="1"/>
  <c r="AM49" i="30"/>
  <c r="AJ49" i="30"/>
  <c r="AK49" i="30"/>
  <c r="AI49" i="30"/>
  <c r="AJ45" i="30" l="1"/>
  <c r="AM45" i="30"/>
  <c r="AI45" i="30"/>
  <c r="AK45" i="30"/>
  <c r="AL45" i="30"/>
  <c r="AJ43" i="30" l="1"/>
  <c r="AJ46" i="30" s="1"/>
  <c r="AL43" i="30"/>
  <c r="AL46" i="30" s="1"/>
  <c r="AI43" i="30"/>
  <c r="AI46" i="30" s="1"/>
  <c r="AM43" i="30"/>
  <c r="AM46" i="30" s="1"/>
  <c r="AK43" i="30"/>
  <c r="AK46" i="30" s="1"/>
  <c r="Q83" i="6" l="1"/>
  <c r="T83" i="6" l="1"/>
  <c r="R83" i="6"/>
  <c r="N108" i="11"/>
  <c r="N84" i="11"/>
  <c r="U83" i="6"/>
  <c r="C73" i="6"/>
  <c r="N82" i="11"/>
  <c r="W83" i="6" l="1"/>
  <c r="H27" i="8"/>
  <c r="I27" i="8" s="1"/>
  <c r="H11" i="8"/>
  <c r="I11" i="8" s="1"/>
  <c r="N18" i="8"/>
  <c r="O18" i="8" s="1"/>
  <c r="N7" i="8"/>
  <c r="O7" i="8" s="1"/>
  <c r="H14" i="8"/>
  <c r="I14" i="8" s="1"/>
  <c r="N15" i="8"/>
  <c r="O15" i="8" s="1"/>
  <c r="H21" i="8"/>
  <c r="I21" i="8" s="1"/>
  <c r="N11" i="8"/>
  <c r="O11" i="8" s="1"/>
  <c r="N28" i="8"/>
  <c r="O28" i="8" s="1"/>
  <c r="N12" i="8"/>
  <c r="O12" i="8" s="1"/>
  <c r="H10" i="8"/>
  <c r="I10" i="8" s="1"/>
  <c r="H24" i="8"/>
  <c r="I24" i="8" s="1"/>
  <c r="H15" i="8"/>
  <c r="I15" i="8" s="1"/>
  <c r="N19" i="8"/>
  <c r="O19" i="8" s="1"/>
  <c r="N22" i="8"/>
  <c r="O22" i="8" s="1"/>
  <c r="N6" i="8"/>
  <c r="O6" i="8" s="1"/>
  <c r="N27" i="8"/>
  <c r="O27" i="8" s="1"/>
  <c r="H18" i="8"/>
  <c r="I18" i="8" s="1"/>
  <c r="N9" i="8"/>
  <c r="O9" i="8" s="1"/>
  <c r="H25" i="8"/>
  <c r="I25" i="8" s="1"/>
  <c r="H9" i="8"/>
  <c r="I9" i="8" s="1"/>
  <c r="H6" i="8"/>
  <c r="I6" i="8" s="1"/>
  <c r="N16" i="8"/>
  <c r="O16" i="8" s="1"/>
  <c r="N25" i="8"/>
  <c r="O25" i="8" s="1"/>
  <c r="H28" i="8"/>
  <c r="I28" i="8" s="1"/>
  <c r="H19" i="8"/>
  <c r="I19" i="8" s="1"/>
  <c r="N29" i="8"/>
  <c r="O29" i="8" s="1"/>
  <c r="H12" i="8"/>
  <c r="I12" i="8" s="1"/>
  <c r="N13" i="8"/>
  <c r="O13" i="8" s="1"/>
  <c r="N26" i="8"/>
  <c r="O26" i="8" s="1"/>
  <c r="N10" i="8"/>
  <c r="O10" i="8" s="1"/>
  <c r="N21" i="8"/>
  <c r="O21" i="8" s="1"/>
  <c r="H22" i="8"/>
  <c r="I22" i="8" s="1"/>
  <c r="H29" i="8"/>
  <c r="I29" i="8" s="1"/>
  <c r="H13" i="8"/>
  <c r="I13" i="8" s="1"/>
  <c r="H8" i="8"/>
  <c r="I8" i="8" s="1"/>
  <c r="N20" i="8"/>
  <c r="O20" i="8" s="1"/>
  <c r="H16" i="8"/>
  <c r="I16" i="8" s="1"/>
  <c r="H23" i="8"/>
  <c r="I23" i="8" s="1"/>
  <c r="H7" i="8"/>
  <c r="I7" i="8" s="1"/>
  <c r="N14" i="8"/>
  <c r="O14" i="8" s="1"/>
  <c r="H26" i="8"/>
  <c r="I26" i="8" s="1"/>
  <c r="N23" i="8"/>
  <c r="O23" i="8" s="1"/>
  <c r="H17" i="8"/>
  <c r="I17" i="8" s="1"/>
  <c r="N17" i="8"/>
  <c r="O17" i="8" s="1"/>
  <c r="N24" i="8"/>
  <c r="O24" i="8" s="1"/>
  <c r="N8" i="8"/>
  <c r="O8" i="8" s="1"/>
  <c r="H20" i="8"/>
  <c r="I20" i="8" s="1"/>
  <c r="N5" i="8"/>
  <c r="O5" i="8" s="1"/>
  <c r="H5" i="8"/>
  <c r="I5" i="8" s="1"/>
  <c r="C50" i="6"/>
  <c r="X10" i="4"/>
  <c r="C55" i="11"/>
  <c r="W74" i="23"/>
  <c r="C54" i="11"/>
  <c r="W73" i="23"/>
  <c r="N55" i="11"/>
  <c r="N54" i="11"/>
  <c r="C43" i="6"/>
  <c r="R84" i="11"/>
  <c r="U84" i="11" s="1"/>
  <c r="Y84" i="11" s="1"/>
  <c r="R108" i="11"/>
  <c r="U108" i="11" s="1"/>
  <c r="X7" i="4"/>
  <c r="F46" i="6"/>
  <c r="R82" i="11"/>
  <c r="U82" i="11" s="1"/>
  <c r="Y82" i="11" s="1"/>
  <c r="N79" i="11"/>
  <c r="Y83" i="6"/>
  <c r="V83" i="6"/>
  <c r="B84" i="6" l="1"/>
  <c r="X83" i="6"/>
  <c r="X112" i="6"/>
  <c r="C4" i="4"/>
  <c r="AH83" i="6"/>
  <c r="AK83" i="6" s="1"/>
  <c r="AG83" i="6"/>
  <c r="AJ83" i="6" s="1"/>
  <c r="E83" i="6"/>
  <c r="C83" i="6" s="1"/>
  <c r="AB88" i="6"/>
  <c r="AE83" i="6"/>
  <c r="F83" i="6" s="1"/>
  <c r="AB87" i="6"/>
  <c r="AB83" i="6"/>
  <c r="AB85" i="6"/>
  <c r="AB108" i="6"/>
  <c r="AB89" i="6"/>
  <c r="AB92" i="6"/>
  <c r="AB86" i="6"/>
  <c r="AB90" i="6"/>
  <c r="AB101" i="6"/>
  <c r="AB95" i="6"/>
  <c r="AB102" i="6"/>
  <c r="AB91" i="6"/>
  <c r="AB104" i="6"/>
  <c r="AB99" i="6"/>
  <c r="AB103" i="6"/>
  <c r="AB107" i="6"/>
  <c r="AB105" i="6"/>
  <c r="AB106" i="6"/>
  <c r="AB96" i="6"/>
  <c r="AB100" i="6"/>
  <c r="AB84" i="6"/>
  <c r="X11" i="4"/>
  <c r="Z82" i="11"/>
  <c r="Z84" i="11"/>
  <c r="P13" i="8"/>
  <c r="J12" i="8"/>
  <c r="P20" i="8"/>
  <c r="P16" i="8"/>
  <c r="J22" i="8"/>
  <c r="J8" i="8"/>
  <c r="R55" i="11"/>
  <c r="U55" i="11" s="1"/>
  <c r="P5" i="8"/>
  <c r="J28" i="8"/>
  <c r="J13" i="8"/>
  <c r="J6" i="8"/>
  <c r="P15" i="8"/>
  <c r="J23" i="8"/>
  <c r="J18" i="8"/>
  <c r="P18" i="8"/>
  <c r="J7" i="8"/>
  <c r="P21" i="8"/>
  <c r="U118" i="11"/>
  <c r="U120" i="11"/>
  <c r="U122" i="11" s="1"/>
  <c r="Y108" i="11"/>
  <c r="P10" i="8"/>
  <c r="J29" i="8"/>
  <c r="J19" i="8"/>
  <c r="P27" i="8"/>
  <c r="P17" i="8"/>
  <c r="J27" i="8"/>
  <c r="P24" i="8"/>
  <c r="P22" i="8"/>
  <c r="P28" i="8"/>
  <c r="J24" i="8"/>
  <c r="J10" i="8"/>
  <c r="P29" i="8"/>
  <c r="J17" i="8"/>
  <c r="P6" i="8"/>
  <c r="P23" i="8"/>
  <c r="P19" i="8"/>
  <c r="J15" i="8"/>
  <c r="P25" i="8"/>
  <c r="J20" i="8"/>
  <c r="P14" i="8"/>
  <c r="J5" i="8"/>
  <c r="J11" i="8"/>
  <c r="P11" i="8"/>
  <c r="J16" i="8"/>
  <c r="P12" i="8"/>
  <c r="P7" i="8"/>
  <c r="X4" i="4"/>
  <c r="X5" i="4" s="1"/>
  <c r="N69" i="11"/>
  <c r="N68" i="11"/>
  <c r="R79" i="11"/>
  <c r="U79" i="11" s="1"/>
  <c r="P26" i="8"/>
  <c r="J14" i="8"/>
  <c r="J21" i="8"/>
  <c r="J26" i="8"/>
  <c r="J25" i="8"/>
  <c r="J9" i="8"/>
  <c r="P8" i="8"/>
  <c r="P9" i="8"/>
  <c r="R54" i="11"/>
  <c r="U54" i="11" s="1"/>
  <c r="B95" i="6" l="1"/>
  <c r="C7" i="4"/>
  <c r="AF12" i="8"/>
  <c r="B87" i="6"/>
  <c r="B106" i="6"/>
  <c r="B101" i="6"/>
  <c r="B108" i="6"/>
  <c r="B94" i="6"/>
  <c r="B103" i="6"/>
  <c r="B102" i="6"/>
  <c r="B92" i="6"/>
  <c r="B88" i="6"/>
  <c r="B105" i="6"/>
  <c r="B96" i="6"/>
  <c r="B93" i="6"/>
  <c r="B104" i="6"/>
  <c r="B99" i="6"/>
  <c r="B97" i="6"/>
  <c r="B90" i="6"/>
  <c r="B107" i="6"/>
  <c r="B100" i="6"/>
  <c r="B86" i="6"/>
  <c r="B85" i="6"/>
  <c r="B5" i="8"/>
  <c r="C5" i="8" s="1"/>
  <c r="P3" i="4"/>
  <c r="P28" i="4" s="1"/>
  <c r="B25" i="8"/>
  <c r="C25" i="8" s="1"/>
  <c r="AF19" i="8"/>
  <c r="Z23" i="8"/>
  <c r="AF27" i="8"/>
  <c r="B21" i="8"/>
  <c r="C21" i="8" s="1"/>
  <c r="AF8" i="8"/>
  <c r="B29" i="8"/>
  <c r="C29" i="8" s="1"/>
  <c r="Z13" i="8"/>
  <c r="T15" i="8"/>
  <c r="U15" i="8" s="1"/>
  <c r="T5" i="8"/>
  <c r="U5" i="8" s="1"/>
  <c r="B18" i="8"/>
  <c r="C18" i="8" s="1"/>
  <c r="T18" i="8"/>
  <c r="U18" i="8" s="1"/>
  <c r="T8" i="8"/>
  <c r="U8" i="8" s="1"/>
  <c r="B11" i="8"/>
  <c r="C11" i="8" s="1"/>
  <c r="T11" i="8"/>
  <c r="U11" i="8" s="1"/>
  <c r="AF9" i="8"/>
  <c r="B7" i="8"/>
  <c r="C7" i="8" s="1"/>
  <c r="B16" i="8"/>
  <c r="C16" i="8" s="1"/>
  <c r="B26" i="8"/>
  <c r="C26" i="8" s="1"/>
  <c r="T22" i="8"/>
  <c r="U22" i="8" s="1"/>
  <c r="Z5" i="8"/>
  <c r="T20" i="8"/>
  <c r="U20" i="8" s="1"/>
  <c r="Z14" i="8"/>
  <c r="T12" i="8"/>
  <c r="U12" i="8" s="1"/>
  <c r="Z9" i="8"/>
  <c r="AF6" i="8"/>
  <c r="T24" i="8"/>
  <c r="U24" i="8" s="1"/>
  <c r="B27" i="8"/>
  <c r="C27" i="8" s="1"/>
  <c r="AF28" i="8"/>
  <c r="AF25" i="8"/>
  <c r="B23" i="8"/>
  <c r="C23" i="8" s="1"/>
  <c r="AF24" i="8"/>
  <c r="AF5" i="8"/>
  <c r="B10" i="8"/>
  <c r="C10" i="8" s="1"/>
  <c r="Z15" i="8"/>
  <c r="AF15" i="8"/>
  <c r="B8" i="8"/>
  <c r="C8" i="8" s="1"/>
  <c r="T29" i="8"/>
  <c r="U29" i="8" s="1"/>
  <c r="AF20" i="8"/>
  <c r="AF13" i="8"/>
  <c r="Z29" i="8"/>
  <c r="Z18" i="8"/>
  <c r="B28" i="8"/>
  <c r="C28" i="8" s="1"/>
  <c r="Z26" i="8"/>
  <c r="AF17" i="8"/>
  <c r="B15" i="8"/>
  <c r="C15" i="8" s="1"/>
  <c r="AF16" i="8"/>
  <c r="AF29" i="8"/>
  <c r="Z16" i="8"/>
  <c r="Z11" i="8"/>
  <c r="Z12" i="8"/>
  <c r="B22" i="8"/>
  <c r="C22" i="8" s="1"/>
  <c r="Z20" i="8"/>
  <c r="T16" i="8"/>
  <c r="U16" i="8" s="1"/>
  <c r="T21" i="8"/>
  <c r="U21" i="8" s="1"/>
  <c r="AF22" i="8"/>
  <c r="AF18" i="8"/>
  <c r="B24" i="8"/>
  <c r="C24" i="8" s="1"/>
  <c r="AF7" i="8"/>
  <c r="Z6" i="8"/>
  <c r="B20" i="8"/>
  <c r="C20" i="8" s="1"/>
  <c r="AF23" i="8"/>
  <c r="T23" i="8"/>
  <c r="U23" i="8" s="1"/>
  <c r="Z17" i="8"/>
  <c r="T19" i="8"/>
  <c r="U19" i="8" s="1"/>
  <c r="AF14" i="8"/>
  <c r="T6" i="8"/>
  <c r="U6" i="8" s="1"/>
  <c r="B9" i="8"/>
  <c r="C9" i="8" s="1"/>
  <c r="T28" i="8"/>
  <c r="U28" i="8" s="1"/>
  <c r="Z25" i="8"/>
  <c r="T27" i="8"/>
  <c r="U27" i="8" s="1"/>
  <c r="T9" i="8"/>
  <c r="U9" i="8" s="1"/>
  <c r="B6" i="8"/>
  <c r="C6" i="8" s="1"/>
  <c r="B17" i="8"/>
  <c r="C17" i="8" s="1"/>
  <c r="B12" i="8"/>
  <c r="C12" i="8" s="1"/>
  <c r="Z7" i="8"/>
  <c r="AF21" i="8"/>
  <c r="Z24" i="8"/>
  <c r="Z8" i="8"/>
  <c r="AF26" i="8"/>
  <c r="T26" i="8"/>
  <c r="U26" i="8" s="1"/>
  <c r="B19" i="8"/>
  <c r="C19" i="8" s="1"/>
  <c r="T7" i="8"/>
  <c r="U7" i="8" s="1"/>
  <c r="Z21" i="8"/>
  <c r="B14" i="8"/>
  <c r="C14" i="8" s="1"/>
  <c r="T25" i="8"/>
  <c r="U25" i="8" s="1"/>
  <c r="AF11" i="8"/>
  <c r="Z19" i="8"/>
  <c r="Z28" i="8"/>
  <c r="Z10" i="8"/>
  <c r="AF10" i="8"/>
  <c r="T17" i="8"/>
  <c r="U17" i="8" s="1"/>
  <c r="T14" i="8"/>
  <c r="U14" i="8" s="1"/>
  <c r="Z27" i="8"/>
  <c r="T13" i="8"/>
  <c r="U13" i="8" s="1"/>
  <c r="T10" i="8"/>
  <c r="U10" i="8" s="1"/>
  <c r="B13" i="8"/>
  <c r="C13" i="8" s="1"/>
  <c r="Z22" i="8"/>
  <c r="U56" i="11"/>
  <c r="K151" i="11"/>
  <c r="T151" i="11" s="1"/>
  <c r="Y54" i="11"/>
  <c r="R68" i="11"/>
  <c r="U68" i="11" s="1"/>
  <c r="U96" i="11"/>
  <c r="U94" i="11"/>
  <c r="R94" i="11" s="1"/>
  <c r="Y79" i="11"/>
  <c r="Y94" i="11" s="1"/>
  <c r="Y55" i="11"/>
  <c r="K152" i="11"/>
  <c r="T152" i="11" s="1"/>
  <c r="R69" i="11"/>
  <c r="U69" i="11" s="1"/>
  <c r="Y69" i="11" s="1"/>
  <c r="Y120" i="11"/>
  <c r="Y122" i="11" s="1"/>
  <c r="Y118" i="11"/>
  <c r="AA108" i="11" s="1"/>
  <c r="Z108" i="11"/>
  <c r="Z120" i="11" s="1"/>
  <c r="Z122" i="11" s="1"/>
  <c r="E107" i="6" l="1"/>
  <c r="C107" i="6" s="1"/>
  <c r="D107" i="6" s="1"/>
  <c r="G136" i="6" s="1"/>
  <c r="E106" i="6"/>
  <c r="C106" i="6" s="1"/>
  <c r="D106" i="6" s="1"/>
  <c r="G135" i="6" s="1"/>
  <c r="E88" i="6"/>
  <c r="C88" i="6" s="1"/>
  <c r="D88" i="6" s="1"/>
  <c r="G117" i="6" s="1"/>
  <c r="E101" i="6"/>
  <c r="C101" i="6" s="1"/>
  <c r="D101" i="6" s="1"/>
  <c r="G130" i="6" s="1"/>
  <c r="E104" i="6"/>
  <c r="C104" i="6" s="1"/>
  <c r="D104" i="6" s="1"/>
  <c r="G133" i="6" s="1"/>
  <c r="E84" i="6"/>
  <c r="C84" i="6" s="1"/>
  <c r="D84" i="6" s="1"/>
  <c r="E85" i="6"/>
  <c r="C85" i="6" s="1"/>
  <c r="D85" i="6" s="1"/>
  <c r="E98" i="6"/>
  <c r="C98" i="6" s="1"/>
  <c r="D98" i="6" s="1"/>
  <c r="G127" i="6" s="1"/>
  <c r="E103" i="6"/>
  <c r="C103" i="6" s="1"/>
  <c r="D103" i="6" s="1"/>
  <c r="G132" i="6" s="1"/>
  <c r="E93" i="6"/>
  <c r="C93" i="6" s="1"/>
  <c r="D93" i="6" s="1"/>
  <c r="G122" i="6" s="1"/>
  <c r="E94" i="6"/>
  <c r="C94" i="6" s="1"/>
  <c r="D94" i="6" s="1"/>
  <c r="G123" i="6" s="1"/>
  <c r="E91" i="6"/>
  <c r="E100" i="6"/>
  <c r="C100" i="6" s="1"/>
  <c r="D100" i="6" s="1"/>
  <c r="G129" i="6" s="1"/>
  <c r="E108" i="6"/>
  <c r="C108" i="6" s="1"/>
  <c r="D108" i="6" s="1"/>
  <c r="G137" i="6" s="1"/>
  <c r="E95" i="6"/>
  <c r="C95" i="6" s="1"/>
  <c r="D95" i="6" s="1"/>
  <c r="E90" i="6"/>
  <c r="C90" i="6" s="1"/>
  <c r="D90" i="6" s="1"/>
  <c r="G119" i="6" s="1"/>
  <c r="E105" i="6"/>
  <c r="C105" i="6" s="1"/>
  <c r="E97" i="6"/>
  <c r="C97" i="6" s="1"/>
  <c r="E102" i="6"/>
  <c r="E96" i="6"/>
  <c r="C96" i="6" s="1"/>
  <c r="E92" i="6"/>
  <c r="C92" i="6" s="1"/>
  <c r="AA10" i="8"/>
  <c r="AB10" i="8" s="1"/>
  <c r="E99" i="6"/>
  <c r="C99" i="6" s="1"/>
  <c r="E86" i="6"/>
  <c r="E89" i="6"/>
  <c r="C89" i="6" s="1"/>
  <c r="E87" i="6"/>
  <c r="AA12" i="8"/>
  <c r="AB12" i="8" s="1"/>
  <c r="AA23" i="8"/>
  <c r="AB23" i="8" s="1"/>
  <c r="AA21" i="8"/>
  <c r="AB21" i="8" s="1"/>
  <c r="AA7" i="8"/>
  <c r="AB7" i="8" s="1"/>
  <c r="AA20" i="8"/>
  <c r="AB20" i="8" s="1"/>
  <c r="AG17" i="8"/>
  <c r="AH17" i="8" s="1"/>
  <c r="AG28" i="8"/>
  <c r="AH28" i="8" s="1"/>
  <c r="AA5" i="8"/>
  <c r="AB5" i="8" s="1"/>
  <c r="AG23" i="8"/>
  <c r="AH23" i="8" s="1"/>
  <c r="AG8" i="8"/>
  <c r="AH8" i="8" s="1"/>
  <c r="AG10" i="8"/>
  <c r="AH10" i="8" s="1"/>
  <c r="AG12" i="8"/>
  <c r="AH12" i="8" s="1"/>
  <c r="AA6" i="8"/>
  <c r="AB6" i="8" s="1"/>
  <c r="AA26" i="8"/>
  <c r="AB26" i="8" s="1"/>
  <c r="AG15" i="8"/>
  <c r="AH15" i="8" s="1"/>
  <c r="AG27" i="8"/>
  <c r="AH27" i="8" s="1"/>
  <c r="AG21" i="8"/>
  <c r="AH21" i="8" s="1"/>
  <c r="AA22" i="8"/>
  <c r="AB22" i="8" s="1"/>
  <c r="AG7" i="8"/>
  <c r="AH7" i="8" s="1"/>
  <c r="AA15" i="8"/>
  <c r="AB15" i="8" s="1"/>
  <c r="AA28" i="8"/>
  <c r="AB28" i="8" s="1"/>
  <c r="AG14" i="8"/>
  <c r="AH14" i="8" s="1"/>
  <c r="AA11" i="8"/>
  <c r="AB11" i="8" s="1"/>
  <c r="AA18" i="8"/>
  <c r="AB18" i="8" s="1"/>
  <c r="AG6" i="8"/>
  <c r="AH6" i="8" s="1"/>
  <c r="AG19" i="8"/>
  <c r="AH19" i="8" s="1"/>
  <c r="AA19" i="8"/>
  <c r="AB19" i="8" s="1"/>
  <c r="AG26" i="8"/>
  <c r="AH26" i="8" s="1"/>
  <c r="AG18" i="8"/>
  <c r="AH18" i="8" s="1"/>
  <c r="AA16" i="8"/>
  <c r="AB16" i="8" s="1"/>
  <c r="AA29" i="8"/>
  <c r="AB29" i="8" s="1"/>
  <c r="AG5" i="8"/>
  <c r="AH5" i="8" s="1"/>
  <c r="AA9" i="8"/>
  <c r="AB9" i="8" s="1"/>
  <c r="AA25" i="8"/>
  <c r="AB25" i="8" s="1"/>
  <c r="AG11" i="8"/>
  <c r="AH11" i="8" s="1"/>
  <c r="AA8" i="8"/>
  <c r="AB8" i="8" s="1"/>
  <c r="AA17" i="8"/>
  <c r="AB17" i="8" s="1"/>
  <c r="AG22" i="8"/>
  <c r="AH22" i="8" s="1"/>
  <c r="AG29" i="8"/>
  <c r="AH29" i="8" s="1"/>
  <c r="AG13" i="8"/>
  <c r="AH13" i="8" s="1"/>
  <c r="AG24" i="8"/>
  <c r="AH24" i="8" s="1"/>
  <c r="AG9" i="8"/>
  <c r="AH9" i="8" s="1"/>
  <c r="AA13" i="8"/>
  <c r="AB13" i="8" s="1"/>
  <c r="AG25" i="8"/>
  <c r="AH25" i="8" s="1"/>
  <c r="AA27" i="8"/>
  <c r="AB27" i="8" s="1"/>
  <c r="AA24" i="8"/>
  <c r="AB24" i="8" s="1"/>
  <c r="AG16" i="8"/>
  <c r="AH16" i="8" s="1"/>
  <c r="AG20" i="8"/>
  <c r="AH20" i="8" s="1"/>
  <c r="AA14" i="8"/>
  <c r="AB14" i="8" s="1"/>
  <c r="Z69" i="11"/>
  <c r="AB44" i="4"/>
  <c r="AF44" i="4" s="1"/>
  <c r="AB63" i="4"/>
  <c r="AB61" i="4"/>
  <c r="D16" i="8"/>
  <c r="D21" i="8"/>
  <c r="D11" i="8"/>
  <c r="D24" i="8"/>
  <c r="D10" i="8"/>
  <c r="D20" i="8"/>
  <c r="V9" i="8"/>
  <c r="AB58" i="4"/>
  <c r="AB41" i="4"/>
  <c r="AB62" i="4"/>
  <c r="AB60" i="4"/>
  <c r="D12" i="8"/>
  <c r="V25" i="8"/>
  <c r="D6" i="8"/>
  <c r="AB64" i="4"/>
  <c r="D7" i="8"/>
  <c r="AB55" i="4"/>
  <c r="D22" i="8"/>
  <c r="Z79" i="11"/>
  <c r="Z96" i="11" s="1"/>
  <c r="Z98" i="11" s="1"/>
  <c r="AA79" i="11"/>
  <c r="Y96" i="11"/>
  <c r="AB43" i="4"/>
  <c r="AJ43" i="4" s="1"/>
  <c r="D9" i="8"/>
  <c r="D13" i="8"/>
  <c r="V21" i="8"/>
  <c r="V28" i="8"/>
  <c r="D5" i="8"/>
  <c r="V7" i="8"/>
  <c r="D27" i="8"/>
  <c r="AB50" i="4"/>
  <c r="AJ50" i="4" s="1"/>
  <c r="U70" i="11"/>
  <c r="U73" i="11" s="1"/>
  <c r="R73" i="11" s="1"/>
  <c r="K161" i="11"/>
  <c r="T161" i="11" s="1"/>
  <c r="Y68" i="11"/>
  <c r="Z54" i="11"/>
  <c r="Y56" i="11"/>
  <c r="AB47" i="4"/>
  <c r="D19" i="8"/>
  <c r="V20" i="8"/>
  <c r="V12" i="8"/>
  <c r="V23" i="8"/>
  <c r="V24" i="8"/>
  <c r="AB56" i="4"/>
  <c r="V18" i="8"/>
  <c r="R96" i="11"/>
  <c r="U98" i="11"/>
  <c r="AC151" i="11"/>
  <c r="U151" i="11"/>
  <c r="AB42" i="4"/>
  <c r="AB45" i="4"/>
  <c r="D28" i="8"/>
  <c r="D23" i="8"/>
  <c r="V29" i="8"/>
  <c r="V19" i="8"/>
  <c r="V11" i="8"/>
  <c r="AB53" i="4"/>
  <c r="AB49" i="4"/>
  <c r="AB51" i="4"/>
  <c r="D8" i="8"/>
  <c r="AB65" i="4"/>
  <c r="V17" i="8"/>
  <c r="V26" i="8"/>
  <c r="V13" i="8"/>
  <c r="V6" i="8"/>
  <c r="AB48" i="4"/>
  <c r="AF48" i="4" s="1"/>
  <c r="AG48" i="4" s="1"/>
  <c r="AB57" i="4"/>
  <c r="D15" i="8"/>
  <c r="D14" i="8"/>
  <c r="V8" i="8"/>
  <c r="AB59" i="4"/>
  <c r="V27" i="8"/>
  <c r="V5" i="8"/>
  <c r="V15" i="8"/>
  <c r="V14" i="8"/>
  <c r="AB46" i="4"/>
  <c r="AB52" i="4"/>
  <c r="U152" i="11"/>
  <c r="Y152" i="11" s="1"/>
  <c r="AC152" i="11"/>
  <c r="AA110" i="11"/>
  <c r="AA106" i="11"/>
  <c r="AA118" i="11"/>
  <c r="X118" i="11"/>
  <c r="AA113" i="11"/>
  <c r="AA109" i="11"/>
  <c r="AA117" i="11"/>
  <c r="AA112" i="11"/>
  <c r="AA105" i="11"/>
  <c r="AA114" i="11"/>
  <c r="AA107" i="11"/>
  <c r="AA111" i="11"/>
  <c r="Z118" i="11"/>
  <c r="D18" i="8"/>
  <c r="D17" i="8"/>
  <c r="D29" i="8"/>
  <c r="V10" i="8"/>
  <c r="V22" i="8"/>
  <c r="V16" i="8"/>
  <c r="D25" i="8"/>
  <c r="D26" i="8"/>
  <c r="AB54" i="4"/>
  <c r="AJ54" i="4" s="1"/>
  <c r="Z55" i="11"/>
  <c r="C91" i="6" l="1"/>
  <c r="D91" i="6" s="1"/>
  <c r="G114" i="6"/>
  <c r="D96" i="6"/>
  <c r="G125" i="6" s="1"/>
  <c r="C86" i="6"/>
  <c r="D86" i="6" s="1"/>
  <c r="C87" i="6"/>
  <c r="D87" i="6" s="1"/>
  <c r="D92" i="6"/>
  <c r="D89" i="6"/>
  <c r="G118" i="6" s="1"/>
  <c r="C102" i="6"/>
  <c r="D102" i="6" s="1"/>
  <c r="AJ49" i="4"/>
  <c r="D105" i="6"/>
  <c r="G134" i="6" s="1"/>
  <c r="D99" i="6"/>
  <c r="AC56" i="4" s="1"/>
  <c r="G113" i="6"/>
  <c r="G124" i="6"/>
  <c r="D97" i="6"/>
  <c r="G126" i="6" s="1"/>
  <c r="AJ46" i="4"/>
  <c r="AF46" i="4"/>
  <c r="AF76" i="4" s="1"/>
  <c r="AB78" i="4"/>
  <c r="AB79" i="4"/>
  <c r="AB72" i="4"/>
  <c r="AB87" i="4"/>
  <c r="AB94" i="4"/>
  <c r="AB93" i="4"/>
  <c r="AB76" i="4"/>
  <c r="AB86" i="4"/>
  <c r="AB81" i="4"/>
  <c r="AB83" i="4"/>
  <c r="AB73" i="4"/>
  <c r="AB74" i="4"/>
  <c r="AB75" i="4"/>
  <c r="AB92" i="4"/>
  <c r="AB89" i="4"/>
  <c r="AB80" i="4"/>
  <c r="AB77" i="4"/>
  <c r="AB88" i="4"/>
  <c r="AB91" i="4"/>
  <c r="AB84" i="4"/>
  <c r="AB82" i="4"/>
  <c r="AB95" i="4"/>
  <c r="AB90" i="4"/>
  <c r="AB71" i="4"/>
  <c r="AF55" i="4"/>
  <c r="AF85" i="4" s="1"/>
  <c r="AB85" i="4"/>
  <c r="AJ52" i="4"/>
  <c r="AJ53" i="4"/>
  <c r="AF53" i="4"/>
  <c r="AF83" i="4" s="1"/>
  <c r="AJ51" i="4"/>
  <c r="AJ47" i="4"/>
  <c r="AJ55" i="4"/>
  <c r="AJ58" i="4"/>
  <c r="AJ48" i="4"/>
  <c r="AJ45" i="4"/>
  <c r="AJ57" i="4"/>
  <c r="AJ65" i="4"/>
  <c r="AJ42" i="4"/>
  <c r="AJ60" i="4"/>
  <c r="AJ61" i="4"/>
  <c r="AJ59" i="4"/>
  <c r="AJ56" i="4"/>
  <c r="AJ64" i="4"/>
  <c r="AJ62" i="4"/>
  <c r="AJ63" i="4"/>
  <c r="AJ44" i="4"/>
  <c r="AJ41" i="4"/>
  <c r="AC41" i="4"/>
  <c r="AC47" i="4"/>
  <c r="BK49" i="4"/>
  <c r="AF49" i="4"/>
  <c r="AH49" i="4" s="1"/>
  <c r="AI49" i="4" s="1"/>
  <c r="AC55" i="4"/>
  <c r="AC161" i="11"/>
  <c r="U161" i="11"/>
  <c r="BK58" i="4"/>
  <c r="AF58" i="4"/>
  <c r="AF88" i="4" s="1"/>
  <c r="AC63" i="4"/>
  <c r="AC45" i="4"/>
  <c r="BK42" i="4"/>
  <c r="AF42" i="4"/>
  <c r="AF72" i="4" s="1"/>
  <c r="AA88" i="11"/>
  <c r="X94" i="11"/>
  <c r="AA86" i="11"/>
  <c r="AA91" i="11"/>
  <c r="AA94" i="11"/>
  <c r="AA92" i="11"/>
  <c r="AA80" i="11"/>
  <c r="AA81" i="11"/>
  <c r="AA85" i="11"/>
  <c r="Y134" i="11"/>
  <c r="AA83" i="11"/>
  <c r="Z94" i="11"/>
  <c r="AA87" i="11"/>
  <c r="AA93" i="11"/>
  <c r="AA82" i="11"/>
  <c r="AA84" i="11"/>
  <c r="AC58" i="4"/>
  <c r="AC65" i="4"/>
  <c r="AC42" i="4"/>
  <c r="G85" i="6"/>
  <c r="BK56" i="4"/>
  <c r="AF56" i="4"/>
  <c r="AF86" i="4" s="1"/>
  <c r="BK47" i="4"/>
  <c r="AF47" i="4"/>
  <c r="AF77" i="4" s="1"/>
  <c r="BK52" i="4"/>
  <c r="AF52" i="4"/>
  <c r="AF82" i="4" s="1"/>
  <c r="Z68" i="11"/>
  <c r="Y70" i="11"/>
  <c r="BK59" i="4"/>
  <c r="AF59" i="4"/>
  <c r="AF89" i="4" s="1"/>
  <c r="BK53" i="4"/>
  <c r="U153" i="11"/>
  <c r="Y151" i="11"/>
  <c r="AC50" i="4"/>
  <c r="BK64" i="4"/>
  <c r="AF64" i="4"/>
  <c r="AF94" i="4" s="1"/>
  <c r="BK41" i="4"/>
  <c r="AF41" i="4"/>
  <c r="AF71" i="4" s="1"/>
  <c r="Z152" i="11"/>
  <c r="BK46" i="4"/>
  <c r="BK48" i="4"/>
  <c r="AF78" i="4"/>
  <c r="BK51" i="4"/>
  <c r="AF51" i="4"/>
  <c r="AF81" i="4" s="1"/>
  <c r="X56" i="11"/>
  <c r="Z56" i="11"/>
  <c r="Y127" i="11"/>
  <c r="BK50" i="4"/>
  <c r="AF50" i="4"/>
  <c r="BK43" i="4"/>
  <c r="AF43" i="4"/>
  <c r="AF73" i="4" s="1"/>
  <c r="AC64" i="4"/>
  <c r="AC60" i="4"/>
  <c r="BK61" i="4"/>
  <c r="AF61" i="4"/>
  <c r="AF91" i="4" s="1"/>
  <c r="BK44" i="4"/>
  <c r="AF74" i="4"/>
  <c r="BK63" i="4"/>
  <c r="AF63" i="4"/>
  <c r="AF93" i="4" s="1"/>
  <c r="BK54" i="4"/>
  <c r="AF54" i="4"/>
  <c r="AF84" i="4" s="1"/>
  <c r="AC51" i="4"/>
  <c r="BK60" i="4"/>
  <c r="AF60" i="4"/>
  <c r="AF90" i="4" s="1"/>
  <c r="AC61" i="4"/>
  <c r="BK57" i="4"/>
  <c r="AF57" i="4"/>
  <c r="AF87" i="4" s="1"/>
  <c r="BK62" i="4"/>
  <c r="AF62" i="4"/>
  <c r="AF92" i="4" s="1"/>
  <c r="AC52" i="4"/>
  <c r="AC57" i="4"/>
  <c r="BK65" i="4"/>
  <c r="AF65" i="4"/>
  <c r="AF95" i="4" s="1"/>
  <c r="BK45" i="4"/>
  <c r="AF45" i="4"/>
  <c r="AF75" i="4" s="1"/>
  <c r="Y98" i="11"/>
  <c r="Y132" i="11"/>
  <c r="BK55" i="4"/>
  <c r="G121" i="6" l="1"/>
  <c r="AC53" i="4"/>
  <c r="AC49" i="4"/>
  <c r="G120" i="6"/>
  <c r="AC48" i="4"/>
  <c r="AC78" i="4" s="1"/>
  <c r="G131" i="6"/>
  <c r="AC59" i="4"/>
  <c r="AC89" i="4" s="1"/>
  <c r="G116" i="6"/>
  <c r="AC44" i="4"/>
  <c r="AC74" i="4" s="1"/>
  <c r="G115" i="6"/>
  <c r="AC43" i="4"/>
  <c r="AC73" i="4" s="1"/>
  <c r="AC46" i="4"/>
  <c r="AC62" i="4"/>
  <c r="AC92" i="4" s="1"/>
  <c r="G128" i="6"/>
  <c r="AC54" i="4"/>
  <c r="AC84" i="4" s="1"/>
  <c r="AF80" i="4"/>
  <c r="AG50" i="4"/>
  <c r="AJ94" i="4"/>
  <c r="AJ86" i="4"/>
  <c r="AJ75" i="4"/>
  <c r="AJ89" i="4"/>
  <c r="AJ78" i="4"/>
  <c r="AJ83" i="4"/>
  <c r="AJ73" i="4"/>
  <c r="AJ91" i="4"/>
  <c r="AJ88" i="4"/>
  <c r="AJ82" i="4"/>
  <c r="AJ74" i="4"/>
  <c r="AJ90" i="4"/>
  <c r="AJ85" i="4"/>
  <c r="AJ84" i="4"/>
  <c r="AJ72" i="4"/>
  <c r="AJ77" i="4"/>
  <c r="AJ81" i="4"/>
  <c r="AJ93" i="4"/>
  <c r="AJ95" i="4"/>
  <c r="AJ79" i="4"/>
  <c r="AJ92" i="4"/>
  <c r="AJ87" i="4"/>
  <c r="AJ76" i="4"/>
  <c r="AJ71" i="4"/>
  <c r="AG49" i="4"/>
  <c r="AH79" i="4"/>
  <c r="AJ80" i="4"/>
  <c r="T85" i="6"/>
  <c r="W85" i="6" s="1"/>
  <c r="X114" i="6" s="1"/>
  <c r="AD90" i="4"/>
  <c r="AC90" i="4"/>
  <c r="AD94" i="4"/>
  <c r="AC94" i="4"/>
  <c r="AD80" i="4"/>
  <c r="AC80" i="4"/>
  <c r="AD76" i="4"/>
  <c r="AC76" i="4"/>
  <c r="AD83" i="4"/>
  <c r="AC83" i="4"/>
  <c r="AD75" i="4"/>
  <c r="AC75" i="4"/>
  <c r="AD77" i="4"/>
  <c r="AC77" i="4"/>
  <c r="AD72" i="4"/>
  <c r="AC72" i="4"/>
  <c r="AD74" i="4"/>
  <c r="AD79" i="4"/>
  <c r="AC79" i="4"/>
  <c r="AD71" i="4"/>
  <c r="AC71" i="4"/>
  <c r="AD86" i="4"/>
  <c r="AC86" i="4"/>
  <c r="AD95" i="4"/>
  <c r="AC95" i="4"/>
  <c r="AD93" i="4"/>
  <c r="AC93" i="4"/>
  <c r="AD88" i="4"/>
  <c r="AC88" i="4"/>
  <c r="AD92" i="4"/>
  <c r="AD81" i="4"/>
  <c r="AC81" i="4"/>
  <c r="AD87" i="4"/>
  <c r="AC87" i="4"/>
  <c r="AD91" i="4"/>
  <c r="AC91" i="4"/>
  <c r="AD78" i="4"/>
  <c r="AD85" i="4"/>
  <c r="AC85" i="4"/>
  <c r="AD73" i="4"/>
  <c r="AD84" i="4"/>
  <c r="AD82" i="4"/>
  <c r="AC82" i="4"/>
  <c r="AD89" i="4"/>
  <c r="AF79" i="4"/>
  <c r="BK66" i="4"/>
  <c r="C15" i="6" s="1"/>
  <c r="AH45" i="4"/>
  <c r="AG45" i="4"/>
  <c r="AG75" i="4" s="1"/>
  <c r="AH44" i="4"/>
  <c r="AG44" i="4"/>
  <c r="AG74" i="4" s="1"/>
  <c r="AH52" i="4"/>
  <c r="AG52" i="4"/>
  <c r="AG82" i="4" s="1"/>
  <c r="AH60" i="4"/>
  <c r="AG60" i="4"/>
  <c r="AG90" i="4" s="1"/>
  <c r="Z134" i="11"/>
  <c r="W52" i="23" s="1"/>
  <c r="AH53" i="4"/>
  <c r="AG53" i="4"/>
  <c r="AG83" i="4" s="1"/>
  <c r="AE42" i="4"/>
  <c r="U85" i="6"/>
  <c r="Z127" i="11"/>
  <c r="H10" i="30"/>
  <c r="AG47" i="4"/>
  <c r="AG77" i="4" s="1"/>
  <c r="AH47" i="4"/>
  <c r="AH56" i="4"/>
  <c r="AG56" i="4"/>
  <c r="AG86" i="4" s="1"/>
  <c r="AH43" i="4"/>
  <c r="AG43" i="4"/>
  <c r="AG73" i="4" s="1"/>
  <c r="AH50" i="4"/>
  <c r="X70" i="11"/>
  <c r="Y73" i="11"/>
  <c r="AA70" i="11" s="1"/>
  <c r="Z70" i="11"/>
  <c r="Y129" i="11"/>
  <c r="AG65" i="4"/>
  <c r="AH65" i="4"/>
  <c r="AG62" i="4"/>
  <c r="AG92" i="4" s="1"/>
  <c r="AH62" i="4"/>
  <c r="AH51" i="4"/>
  <c r="AG51" i="4"/>
  <c r="AG81" i="4" s="1"/>
  <c r="AH48" i="4"/>
  <c r="AG78" i="4"/>
  <c r="AH59" i="4"/>
  <c r="AG59" i="4"/>
  <c r="AG89" i="4" s="1"/>
  <c r="U163" i="11"/>
  <c r="U166" i="11" s="1"/>
  <c r="Y161" i="11"/>
  <c r="Z132" i="11"/>
  <c r="H15" i="30"/>
  <c r="AH57" i="4"/>
  <c r="AG57" i="4"/>
  <c r="AG87" i="4" s="1"/>
  <c r="AG55" i="4"/>
  <c r="AG85" i="4" s="1"/>
  <c r="AH55" i="4"/>
  <c r="AH54" i="4"/>
  <c r="AG54" i="4"/>
  <c r="AG84" i="4" s="1"/>
  <c r="AH63" i="4"/>
  <c r="AG63" i="4"/>
  <c r="AG93" i="4" s="1"/>
  <c r="AH61" i="4"/>
  <c r="AG61" i="4"/>
  <c r="AG91" i="4" s="1"/>
  <c r="AH46" i="4"/>
  <c r="AG46" i="4"/>
  <c r="AH41" i="4"/>
  <c r="AG41" i="4"/>
  <c r="AG71" i="4" s="1"/>
  <c r="AH64" i="4"/>
  <c r="AG64" i="4"/>
  <c r="AG94" i="4" s="1"/>
  <c r="Z151" i="11"/>
  <c r="Y153" i="11"/>
  <c r="AH42" i="4"/>
  <c r="AG42" i="4"/>
  <c r="AG58" i="4"/>
  <c r="AG88" i="4" s="1"/>
  <c r="AH58" i="4"/>
  <c r="AG95" i="4" l="1"/>
  <c r="C20" i="6"/>
  <c r="AG79" i="4"/>
  <c r="AK49" i="4"/>
  <c r="AL49" i="4" s="1"/>
  <c r="AG76" i="4"/>
  <c r="AK46" i="4"/>
  <c r="AL46" i="4" s="1"/>
  <c r="AG72" i="4"/>
  <c r="AK42" i="4"/>
  <c r="AL42" i="4" s="1"/>
  <c r="AG80" i="4"/>
  <c r="AK50" i="4"/>
  <c r="AL50" i="4" s="1"/>
  <c r="AI79" i="4"/>
  <c r="AE72" i="4"/>
  <c r="AI50" i="4"/>
  <c r="AI80" i="4" s="1"/>
  <c r="AH80" i="4"/>
  <c r="AI45" i="4"/>
  <c r="AI75" i="4" s="1"/>
  <c r="AH75" i="4"/>
  <c r="AI61" i="4"/>
  <c r="AI91" i="4" s="1"/>
  <c r="AH91" i="4"/>
  <c r="AI65" i="4"/>
  <c r="AI95" i="4" s="1"/>
  <c r="AH95" i="4"/>
  <c r="AI59" i="4"/>
  <c r="AI89" i="4" s="1"/>
  <c r="AH89" i="4"/>
  <c r="AI43" i="4"/>
  <c r="AI73" i="4" s="1"/>
  <c r="AH73" i="4"/>
  <c r="AI60" i="4"/>
  <c r="AI90" i="4" s="1"/>
  <c r="AH90" i="4"/>
  <c r="AI46" i="4"/>
  <c r="AI76" i="4" s="1"/>
  <c r="AH76" i="4"/>
  <c r="AI57" i="4"/>
  <c r="AI87" i="4" s="1"/>
  <c r="AH87" i="4"/>
  <c r="AI64" i="4"/>
  <c r="AI94" i="4" s="1"/>
  <c r="AH94" i="4"/>
  <c r="AI63" i="4"/>
  <c r="AI93" i="4" s="1"/>
  <c r="AH93" i="4"/>
  <c r="AI55" i="4"/>
  <c r="AI85" i="4" s="1"/>
  <c r="AH85" i="4"/>
  <c r="AI44" i="4"/>
  <c r="AI74" i="4" s="1"/>
  <c r="AH74" i="4"/>
  <c r="AI62" i="4"/>
  <c r="AI92" i="4" s="1"/>
  <c r="AH92" i="4"/>
  <c r="AI58" i="4"/>
  <c r="AI88" i="4" s="1"/>
  <c r="AH88" i="4"/>
  <c r="AI48" i="4"/>
  <c r="AI78" i="4" s="1"/>
  <c r="AH78" i="4"/>
  <c r="AI52" i="4"/>
  <c r="AI82" i="4" s="1"/>
  <c r="AH82" i="4"/>
  <c r="AI51" i="4"/>
  <c r="AI81" i="4" s="1"/>
  <c r="AH81" i="4"/>
  <c r="AI42" i="4"/>
  <c r="AI72" i="4" s="1"/>
  <c r="AH72" i="4"/>
  <c r="AI56" i="4"/>
  <c r="AI86" i="4" s="1"/>
  <c r="AH86" i="4"/>
  <c r="AI41" i="4"/>
  <c r="AI71" i="4" s="1"/>
  <c r="AH71" i="4"/>
  <c r="AI54" i="4"/>
  <c r="AI84" i="4" s="1"/>
  <c r="AH84" i="4"/>
  <c r="AI47" i="4"/>
  <c r="AI77" i="4" s="1"/>
  <c r="AH77" i="4"/>
  <c r="AI53" i="4"/>
  <c r="AI83" i="4" s="1"/>
  <c r="AH83" i="4"/>
  <c r="AK53" i="4"/>
  <c r="AL53" i="4" s="1"/>
  <c r="AK52" i="4"/>
  <c r="AL52" i="4" s="1"/>
  <c r="Z161" i="11"/>
  <c r="Y163" i="11"/>
  <c r="N108" i="6"/>
  <c r="O108" i="6" s="1"/>
  <c r="AK65" i="4"/>
  <c r="AL65" i="4" s="1"/>
  <c r="N96" i="6"/>
  <c r="O96" i="6" s="1"/>
  <c r="N104" i="6"/>
  <c r="O104" i="6" s="1"/>
  <c r="AK61" i="4"/>
  <c r="AL61" i="4" s="1"/>
  <c r="N100" i="6"/>
  <c r="O100" i="6" s="1"/>
  <c r="AK57" i="4"/>
  <c r="AL57" i="4" s="1"/>
  <c r="AK47" i="4"/>
  <c r="AL47" i="4" s="1"/>
  <c r="N90" i="6"/>
  <c r="O90" i="6" s="1"/>
  <c r="N107" i="6"/>
  <c r="O107" i="6" s="1"/>
  <c r="AK64" i="4"/>
  <c r="AL64" i="4" s="1"/>
  <c r="AK63" i="4"/>
  <c r="AL63" i="4" s="1"/>
  <c r="N106" i="6"/>
  <c r="O106" i="6" s="1"/>
  <c r="AK59" i="4"/>
  <c r="AL59" i="4" s="1"/>
  <c r="N102" i="6"/>
  <c r="O102" i="6" s="1"/>
  <c r="N93" i="6"/>
  <c r="O93" i="6" s="1"/>
  <c r="N95" i="6"/>
  <c r="O95" i="6" s="1"/>
  <c r="AK41" i="4"/>
  <c r="AL41" i="4" s="1"/>
  <c r="N84" i="6"/>
  <c r="O84" i="6" s="1"/>
  <c r="N86" i="6"/>
  <c r="O86" i="6" s="1"/>
  <c r="AK43" i="4"/>
  <c r="AL43" i="4" s="1"/>
  <c r="K10" i="30"/>
  <c r="K69" i="30" s="1"/>
  <c r="C10" i="38"/>
  <c r="H69" i="30"/>
  <c r="I10" i="30"/>
  <c r="N103" i="6"/>
  <c r="O103" i="6" s="1"/>
  <c r="AK60" i="4"/>
  <c r="AL60" i="4" s="1"/>
  <c r="N87" i="6"/>
  <c r="O87" i="6" s="1"/>
  <c r="AK44" i="4"/>
  <c r="AL44" i="4" s="1"/>
  <c r="AK45" i="4"/>
  <c r="AL45" i="4" s="1"/>
  <c r="N88" i="6"/>
  <c r="O88" i="6" s="1"/>
  <c r="AK55" i="4"/>
  <c r="AL55" i="4" s="1"/>
  <c r="N98" i="6"/>
  <c r="O98" i="6" s="1"/>
  <c r="AK58" i="4"/>
  <c r="AL58" i="4" s="1"/>
  <c r="N101" i="6"/>
  <c r="O101" i="6" s="1"/>
  <c r="Z129" i="11"/>
  <c r="H12" i="30"/>
  <c r="H13" i="30" s="1"/>
  <c r="O15" i="30" s="1"/>
  <c r="O74" i="30" s="1"/>
  <c r="N92" i="6"/>
  <c r="O92" i="6" s="1"/>
  <c r="Y85" i="6"/>
  <c r="V85" i="6"/>
  <c r="N97" i="6"/>
  <c r="O97" i="6" s="1"/>
  <c r="AK54" i="4"/>
  <c r="AL54" i="4" s="1"/>
  <c r="AK48" i="4"/>
  <c r="AL48" i="4" s="1"/>
  <c r="N91" i="6"/>
  <c r="O91" i="6" s="1"/>
  <c r="N89" i="6"/>
  <c r="O89" i="6" s="1"/>
  <c r="K15" i="30"/>
  <c r="K74" i="30" s="1"/>
  <c r="C15" i="38"/>
  <c r="H74" i="30"/>
  <c r="I15" i="30"/>
  <c r="H17" i="30"/>
  <c r="AK62" i="4"/>
  <c r="AL62" i="4" s="1"/>
  <c r="N105" i="6"/>
  <c r="O105" i="6" s="1"/>
  <c r="AK56" i="4"/>
  <c r="AL56" i="4" s="1"/>
  <c r="N99" i="6"/>
  <c r="O99" i="6" s="1"/>
  <c r="N85" i="6"/>
  <c r="O85" i="6" s="1"/>
  <c r="P85" i="6" s="1"/>
  <c r="Q85" i="6" s="1"/>
  <c r="R85" i="6" s="1"/>
  <c r="Z153" i="11"/>
  <c r="Y188" i="11"/>
  <c r="AK51" i="4"/>
  <c r="AL51" i="4" s="1"/>
  <c r="N94" i="6"/>
  <c r="O94" i="6" s="1"/>
  <c r="AA73" i="11"/>
  <c r="L11" i="25"/>
  <c r="W63" i="23" s="1"/>
  <c r="AA25" i="11"/>
  <c r="AA28" i="11"/>
  <c r="AA36" i="11"/>
  <c r="AA49" i="11"/>
  <c r="AA52" i="11"/>
  <c r="AA64" i="11"/>
  <c r="AA45" i="11"/>
  <c r="AA63" i="11"/>
  <c r="AA61" i="11"/>
  <c r="AA48" i="11"/>
  <c r="X73" i="11"/>
  <c r="W47" i="23" s="1"/>
  <c r="D21" i="29" s="1"/>
  <c r="AA27" i="11"/>
  <c r="AA16" i="11"/>
  <c r="W48" i="23"/>
  <c r="AA62" i="11"/>
  <c r="Z73" i="11"/>
  <c r="AA65" i="11"/>
  <c r="AA50" i="11"/>
  <c r="AA67" i="11"/>
  <c r="AA60" i="11"/>
  <c r="AA47" i="11"/>
  <c r="AA46" i="11"/>
  <c r="Y130" i="11"/>
  <c r="AA51" i="11"/>
  <c r="AA69" i="11"/>
  <c r="AA54" i="11"/>
  <c r="AA55" i="11"/>
  <c r="AA68" i="11"/>
  <c r="AA56" i="11"/>
  <c r="AL79" i="4" l="1"/>
  <c r="AK79" i="4"/>
  <c r="AL80" i="4"/>
  <c r="AK80" i="4"/>
  <c r="AL81" i="4"/>
  <c r="AK81" i="4"/>
  <c r="AL73" i="4"/>
  <c r="AK73" i="4"/>
  <c r="AL90" i="4"/>
  <c r="AK90" i="4"/>
  <c r="AL89" i="4"/>
  <c r="AK89" i="4"/>
  <c r="AK72" i="4"/>
  <c r="AL88" i="4"/>
  <c r="AK88" i="4"/>
  <c r="AK71" i="4"/>
  <c r="AL91" i="4"/>
  <c r="AK91" i="4"/>
  <c r="AL75" i="4"/>
  <c r="AK75" i="4"/>
  <c r="AL77" i="4"/>
  <c r="AK77" i="4"/>
  <c r="AL78" i="4"/>
  <c r="AK78" i="4"/>
  <c r="AL93" i="4"/>
  <c r="AK93" i="4"/>
  <c r="AL84" i="4"/>
  <c r="AK84" i="4"/>
  <c r="AL85" i="4"/>
  <c r="AK85" i="4"/>
  <c r="AL94" i="4"/>
  <c r="AK94" i="4"/>
  <c r="AL82" i="4"/>
  <c r="AK82" i="4"/>
  <c r="AL92" i="4"/>
  <c r="AK92" i="4"/>
  <c r="AL74" i="4"/>
  <c r="AK74" i="4"/>
  <c r="AL87" i="4"/>
  <c r="AK87" i="4"/>
  <c r="AL86" i="4"/>
  <c r="AK86" i="4"/>
  <c r="AL76" i="4"/>
  <c r="AK76" i="4"/>
  <c r="AL95" i="4"/>
  <c r="AK95" i="4"/>
  <c r="AL83" i="4"/>
  <c r="AK83" i="4"/>
  <c r="O10" i="30"/>
  <c r="O69" i="30" s="1"/>
  <c r="H37" i="30"/>
  <c r="O17" i="30"/>
  <c r="O76" i="30" s="1"/>
  <c r="C17" i="38"/>
  <c r="K17" i="30"/>
  <c r="H76" i="30"/>
  <c r="I17" i="30"/>
  <c r="L15" i="30"/>
  <c r="L74" i="30" s="1"/>
  <c r="I74" i="30"/>
  <c r="L10" i="30"/>
  <c r="L69" i="30" s="1"/>
  <c r="I69" i="30"/>
  <c r="O14" i="30"/>
  <c r="O73" i="30" s="1"/>
  <c r="O13" i="30"/>
  <c r="O72" i="30" s="1"/>
  <c r="O9" i="30"/>
  <c r="O68" i="30" s="1"/>
  <c r="O16" i="30"/>
  <c r="O75" i="30" s="1"/>
  <c r="K13" i="30"/>
  <c r="K72" i="30" s="1"/>
  <c r="O11" i="30"/>
  <c r="O70" i="30" s="1"/>
  <c r="C13" i="38"/>
  <c r="H72" i="30"/>
  <c r="H18" i="30"/>
  <c r="N12" i="30" s="1"/>
  <c r="N71" i="30" s="1"/>
  <c r="I13" i="30"/>
  <c r="H33" i="30"/>
  <c r="AB188" i="11"/>
  <c r="X188" i="11"/>
  <c r="Z188" i="11"/>
  <c r="I22" i="30"/>
  <c r="X163" i="11"/>
  <c r="Z163" i="11"/>
  <c r="Y166" i="11"/>
  <c r="Y190" i="11"/>
  <c r="AB83" i="11"/>
  <c r="AB81" i="11"/>
  <c r="AB88" i="11"/>
  <c r="Y135" i="11"/>
  <c r="AB54" i="11" s="1"/>
  <c r="Z130" i="11"/>
  <c r="AB92" i="11"/>
  <c r="AB105" i="11"/>
  <c r="AB111" i="11"/>
  <c r="AB89" i="11"/>
  <c r="AB80" i="11"/>
  <c r="AB90" i="11"/>
  <c r="AB93" i="11"/>
  <c r="AB85" i="11"/>
  <c r="AB109" i="11"/>
  <c r="AB115" i="11"/>
  <c r="AB86" i="11"/>
  <c r="AB110" i="11"/>
  <c r="AB106" i="11"/>
  <c r="AB87" i="11"/>
  <c r="AB112" i="11"/>
  <c r="AB117" i="11"/>
  <c r="AB107" i="11"/>
  <c r="AB113" i="11"/>
  <c r="AB116" i="11"/>
  <c r="AB91" i="11"/>
  <c r="AB114" i="11"/>
  <c r="AB82" i="11"/>
  <c r="AB84" i="11"/>
  <c r="AB108" i="11"/>
  <c r="AB118" i="11"/>
  <c r="AB79" i="11"/>
  <c r="AB94" i="11"/>
  <c r="O12" i="30"/>
  <c r="O71" i="30" s="1"/>
  <c r="H71" i="30"/>
  <c r="K12" i="30"/>
  <c r="K71" i="30" s="1"/>
  <c r="C12" i="38"/>
  <c r="I12" i="30"/>
  <c r="AO101" i="4" l="1"/>
  <c r="AO42" i="4" s="1"/>
  <c r="AU101" i="4"/>
  <c r="AU42" i="4" s="1"/>
  <c r="AW101" i="4"/>
  <c r="AW42" i="4" s="1"/>
  <c r="AV101" i="4"/>
  <c r="AV42" i="4" s="1"/>
  <c r="AS101" i="4"/>
  <c r="AS42" i="4" s="1"/>
  <c r="AY101" i="4"/>
  <c r="AY42" i="4" s="1"/>
  <c r="BB101" i="4"/>
  <c r="BB42" i="4" s="1"/>
  <c r="BE101" i="4"/>
  <c r="BE42" i="4" s="1"/>
  <c r="BC101" i="4"/>
  <c r="BC42" i="4" s="1"/>
  <c r="BH101" i="4"/>
  <c r="BH42" i="4" s="1"/>
  <c r="AX101" i="4"/>
  <c r="AX42" i="4" s="1"/>
  <c r="BD101" i="4"/>
  <c r="BD42" i="4" s="1"/>
  <c r="AT101" i="4"/>
  <c r="AT42" i="4" s="1"/>
  <c r="BA101" i="4"/>
  <c r="BA42" i="4" s="1"/>
  <c r="BG101" i="4"/>
  <c r="BG42" i="4" s="1"/>
  <c r="AP101" i="4"/>
  <c r="AP42" i="4" s="1"/>
  <c r="BF101" i="4"/>
  <c r="BF42" i="4" s="1"/>
  <c r="AR101" i="4"/>
  <c r="AR42" i="4" s="1"/>
  <c r="AQ101" i="4"/>
  <c r="AQ42" i="4" s="1"/>
  <c r="AZ101" i="4"/>
  <c r="AZ42" i="4" s="1"/>
  <c r="AV72" i="4"/>
  <c r="AR72" i="4"/>
  <c r="AT72" i="4"/>
  <c r="AY72" i="4"/>
  <c r="BF72" i="4"/>
  <c r="AU72" i="4"/>
  <c r="BB72" i="4"/>
  <c r="BE72" i="4"/>
  <c r="AS72" i="4"/>
  <c r="BD72" i="4"/>
  <c r="AZ72" i="4"/>
  <c r="BG72" i="4"/>
  <c r="AP72" i="4"/>
  <c r="BC72" i="4"/>
  <c r="BH72" i="4"/>
  <c r="AX72" i="4"/>
  <c r="BA72" i="4"/>
  <c r="AQ72" i="4"/>
  <c r="AW72" i="4"/>
  <c r="AO72" i="4"/>
  <c r="J85" i="6"/>
  <c r="K85" i="6" s="1"/>
  <c r="AL72" i="4"/>
  <c r="AL71" i="4"/>
  <c r="AB68" i="11"/>
  <c r="L13" i="30"/>
  <c r="L72" i="30" s="1"/>
  <c r="I72" i="30"/>
  <c r="I33" i="30"/>
  <c r="I18" i="30"/>
  <c r="O18" i="30"/>
  <c r="N9" i="30"/>
  <c r="N68" i="30" s="1"/>
  <c r="N18" i="30"/>
  <c r="N11" i="30"/>
  <c r="N70" i="30" s="1"/>
  <c r="H77" i="30"/>
  <c r="N16" i="30"/>
  <c r="N75" i="30" s="1"/>
  <c r="H19" i="30"/>
  <c r="C18" i="38"/>
  <c r="N14" i="30"/>
  <c r="N73" i="30" s="1"/>
  <c r="K18" i="30"/>
  <c r="I44" i="30"/>
  <c r="N15" i="30"/>
  <c r="N74" i="30" s="1"/>
  <c r="N10" i="30"/>
  <c r="N69" i="30" s="1"/>
  <c r="AB64" i="11"/>
  <c r="N37" i="30"/>
  <c r="AB130" i="11"/>
  <c r="AB52" i="11"/>
  <c r="AB63" i="11"/>
  <c r="AB61" i="11"/>
  <c r="AB56" i="11"/>
  <c r="AB47" i="11"/>
  <c r="AB16" i="11"/>
  <c r="AB69" i="11"/>
  <c r="L17" i="30"/>
  <c r="I76" i="30"/>
  <c r="I37" i="30"/>
  <c r="AB28" i="11"/>
  <c r="AA156" i="11"/>
  <c r="Z166" i="11"/>
  <c r="AA162" i="11"/>
  <c r="AA154" i="11"/>
  <c r="AA147" i="11"/>
  <c r="AA155" i="11"/>
  <c r="AA166" i="11"/>
  <c r="AA160" i="11"/>
  <c r="AA159" i="11"/>
  <c r="X166" i="11"/>
  <c r="AA158" i="11"/>
  <c r="AA148" i="11"/>
  <c r="AA145" i="11"/>
  <c r="AA149" i="11"/>
  <c r="AA146" i="11"/>
  <c r="AA150" i="11"/>
  <c r="AA157" i="11"/>
  <c r="Y191" i="11"/>
  <c r="X191" i="11" s="1"/>
  <c r="AA152" i="11"/>
  <c r="AA151" i="11"/>
  <c r="AA161" i="11"/>
  <c r="AA153" i="11"/>
  <c r="AB67" i="11"/>
  <c r="AA163" i="11"/>
  <c r="AB73" i="11"/>
  <c r="AB48" i="11"/>
  <c r="AB49" i="11"/>
  <c r="AB46" i="11"/>
  <c r="AB65" i="11"/>
  <c r="AB45" i="11"/>
  <c r="N17" i="30"/>
  <c r="N76" i="30" s="1"/>
  <c r="AB50" i="11"/>
  <c r="L22" i="30"/>
  <c r="L81" i="30" s="1"/>
  <c r="H22" i="30"/>
  <c r="C22" i="38"/>
  <c r="I81" i="30"/>
  <c r="L12" i="30"/>
  <c r="L71" i="30" s="1"/>
  <c r="I71" i="30"/>
  <c r="AB27" i="11"/>
  <c r="AB62" i="11"/>
  <c r="AB51" i="11"/>
  <c r="K37" i="30"/>
  <c r="K76" i="30"/>
  <c r="Z135" i="11"/>
  <c r="W49" i="23" s="1"/>
  <c r="AB128" i="11"/>
  <c r="W50" i="23"/>
  <c r="W67" i="23" s="1"/>
  <c r="AB131" i="11"/>
  <c r="AB133" i="11"/>
  <c r="AB126" i="11"/>
  <c r="AB135" i="11"/>
  <c r="AB134" i="11"/>
  <c r="W51" i="23" s="1"/>
  <c r="AB127" i="11"/>
  <c r="AB132" i="11"/>
  <c r="AB129" i="11"/>
  <c r="AB36" i="11"/>
  <c r="AB55" i="11"/>
  <c r="Z190" i="11"/>
  <c r="X190" i="11"/>
  <c r="AB190" i="11"/>
  <c r="I24" i="30"/>
  <c r="AB60" i="11"/>
  <c r="K33" i="30"/>
  <c r="H93" i="30"/>
  <c r="H36" i="30"/>
  <c r="N33" i="30"/>
  <c r="N13" i="30"/>
  <c r="N72" i="30" s="1"/>
  <c r="AB25" i="11"/>
  <c r="AB70" i="11"/>
  <c r="BI72" i="4" l="1"/>
  <c r="AM42" i="4"/>
  <c r="K77" i="30"/>
  <c r="K19" i="30"/>
  <c r="L24" i="30"/>
  <c r="L83" i="30" s="1"/>
  <c r="H24" i="30"/>
  <c r="I83" i="30"/>
  <c r="C24" i="38"/>
  <c r="O19" i="30"/>
  <c r="O77" i="30"/>
  <c r="L76" i="30"/>
  <c r="L37" i="30"/>
  <c r="L18" i="30"/>
  <c r="L77" i="30" s="1"/>
  <c r="I19" i="30"/>
  <c r="I77" i="30"/>
  <c r="H81" i="30"/>
  <c r="K22" i="30"/>
  <c r="K81" i="30" s="1"/>
  <c r="W58" i="23"/>
  <c r="AB191" i="11"/>
  <c r="Z191" i="11"/>
  <c r="I25" i="30"/>
  <c r="I36" i="30"/>
  <c r="L33" i="30"/>
  <c r="I93" i="30"/>
  <c r="N36" i="30"/>
  <c r="K93" i="30"/>
  <c r="K36" i="30"/>
  <c r="H44" i="30"/>
  <c r="I46" i="30"/>
  <c r="N77" i="30"/>
  <c r="N19" i="30"/>
  <c r="AN42" i="4" l="1"/>
  <c r="Z85" i="6" s="1"/>
  <c r="L85" i="6"/>
  <c r="K24" i="30"/>
  <c r="K83" i="30" s="1"/>
  <c r="H83" i="30"/>
  <c r="L19" i="30"/>
  <c r="L93" i="30"/>
  <c r="L36" i="30"/>
  <c r="L25" i="30"/>
  <c r="L84" i="30" s="1"/>
  <c r="C25" i="38"/>
  <c r="I84" i="30"/>
  <c r="I34" i="30"/>
  <c r="H25" i="30"/>
  <c r="W84" i="23"/>
  <c r="AC85" i="6" l="1"/>
  <c r="L34" i="30"/>
  <c r="I94" i="30"/>
  <c r="K25" i="30"/>
  <c r="K84" i="30" s="1"/>
  <c r="O27" i="30"/>
  <c r="O86" i="30" s="1"/>
  <c r="O25" i="30"/>
  <c r="O84" i="30" s="1"/>
  <c r="O28" i="30"/>
  <c r="O87" i="30" s="1"/>
  <c r="O21" i="30"/>
  <c r="O80" i="30" s="1"/>
  <c r="O23" i="30"/>
  <c r="O82" i="30" s="1"/>
  <c r="H84" i="30"/>
  <c r="H34" i="30"/>
  <c r="O22" i="30"/>
  <c r="O81" i="30" s="1"/>
  <c r="O24" i="30"/>
  <c r="O83" i="30" s="1"/>
  <c r="AE85" i="6" l="1"/>
  <c r="F85" i="6" s="1"/>
  <c r="AG85" i="6"/>
  <c r="AH85" i="6"/>
  <c r="AK85" i="6" s="1"/>
  <c r="L94" i="30"/>
  <c r="K34" i="30"/>
  <c r="H94" i="30"/>
  <c r="N34" i="30"/>
  <c r="AI6" i="8" l="1"/>
  <c r="AJ85" i="6"/>
  <c r="C42" i="38" s="1"/>
  <c r="K94" i="30"/>
  <c r="M84" i="6" l="1"/>
  <c r="I84" i="6" s="1"/>
  <c r="H84" i="6" s="1"/>
  <c r="G84" i="6" s="1"/>
  <c r="T84" i="6" l="1"/>
  <c r="W84" i="6" s="1"/>
  <c r="P84" i="6"/>
  <c r="Q84" i="6" s="1"/>
  <c r="R84" i="6" s="1"/>
  <c r="U84" i="6"/>
  <c r="J84" i="6"/>
  <c r="K84" i="6" s="1"/>
  <c r="AE41" i="4"/>
  <c r="X84" i="6" l="1"/>
  <c r="X113" i="6"/>
  <c r="C40" i="38"/>
  <c r="Y84" i="6"/>
  <c r="V84" i="6"/>
  <c r="AR71" i="4"/>
  <c r="BC100" i="4"/>
  <c r="BC41" i="4" s="1"/>
  <c r="AP100" i="4"/>
  <c r="AP41" i="4" s="1"/>
  <c r="BA71" i="4"/>
  <c r="AT71" i="4"/>
  <c r="AZ71" i="4"/>
  <c r="BH100" i="4"/>
  <c r="BH41" i="4" s="1"/>
  <c r="AV71" i="4"/>
  <c r="BG100" i="4"/>
  <c r="BG41" i="4" s="1"/>
  <c r="AQ100" i="4"/>
  <c r="AQ41" i="4" s="1"/>
  <c r="BD100" i="4"/>
  <c r="BD41" i="4" s="1"/>
  <c r="AZ100" i="4"/>
  <c r="AZ41" i="4" s="1"/>
  <c r="BC71" i="4"/>
  <c r="AW100" i="4"/>
  <c r="AW41" i="4" s="1"/>
  <c r="AU100" i="4"/>
  <c r="AU41" i="4" s="1"/>
  <c r="AY71" i="4"/>
  <c r="AQ71" i="4"/>
  <c r="AP71" i="4"/>
  <c r="AO71" i="4"/>
  <c r="BB100" i="4"/>
  <c r="BB41" i="4" s="1"/>
  <c r="AE71" i="4"/>
  <c r="BB71" i="4"/>
  <c r="AW71" i="4"/>
  <c r="AO100" i="4"/>
  <c r="AO41" i="4" s="1"/>
  <c r="BG71" i="4"/>
  <c r="BE100" i="4"/>
  <c r="BE41" i="4" s="1"/>
  <c r="BD71" i="4"/>
  <c r="BE71" i="4"/>
  <c r="AX100" i="4"/>
  <c r="AX41" i="4" s="1"/>
  <c r="AR100" i="4"/>
  <c r="AR41" i="4" s="1"/>
  <c r="AT100" i="4"/>
  <c r="AT41" i="4" s="1"/>
  <c r="BF100" i="4"/>
  <c r="BF41" i="4" s="1"/>
  <c r="AS71" i="4"/>
  <c r="AV100" i="4"/>
  <c r="AV41" i="4" s="1"/>
  <c r="AU71" i="4"/>
  <c r="AY100" i="4"/>
  <c r="AY41" i="4" s="1"/>
  <c r="BH71" i="4"/>
  <c r="BF71" i="4"/>
  <c r="AX71" i="4"/>
  <c r="BA100" i="4"/>
  <c r="BA41" i="4" s="1"/>
  <c r="AS100" i="4"/>
  <c r="AS41" i="4" s="1"/>
  <c r="BI71" i="4" l="1"/>
  <c r="BI42" i="4"/>
  <c r="BJ42" i="4"/>
  <c r="BI41" i="4"/>
  <c r="BJ41" i="4"/>
  <c r="AM41" i="4"/>
  <c r="AN41" i="4" l="1"/>
  <c r="Z84" i="6" s="1"/>
  <c r="L84" i="6"/>
  <c r="AC84" i="6" l="1"/>
  <c r="AG84" i="6" l="1"/>
  <c r="AE84" i="6"/>
  <c r="F84" i="6" s="1"/>
  <c r="AH84" i="6"/>
  <c r="AK84" i="6" s="1"/>
  <c r="AI5" i="8" l="1"/>
  <c r="AJ84" i="6"/>
  <c r="C41" i="38" s="1"/>
  <c r="M85" i="6"/>
  <c r="I85" i="6" s="1"/>
  <c r="H85" i="6" s="1"/>
  <c r="M86" i="6"/>
  <c r="AL85" i="6" l="1"/>
  <c r="X85" i="6" s="1"/>
  <c r="I86" i="6"/>
  <c r="H86" i="6" s="1"/>
  <c r="G86" i="6" l="1"/>
  <c r="T86" i="6" l="1"/>
  <c r="W86" i="6" s="1"/>
  <c r="X115" i="6" s="1"/>
  <c r="P86" i="6"/>
  <c r="Q86" i="6" s="1"/>
  <c r="R86" i="6" s="1"/>
  <c r="U86" i="6"/>
  <c r="J86" i="6"/>
  <c r="K86" i="6" s="1"/>
  <c r="AE43" i="4"/>
  <c r="AP73" i="4" l="1"/>
  <c r="BH102" i="4"/>
  <c r="BH43" i="4" s="1"/>
  <c r="BA73" i="4"/>
  <c r="BA102" i="4"/>
  <c r="BA43" i="4" s="1"/>
  <c r="AU102" i="4"/>
  <c r="AU43" i="4" s="1"/>
  <c r="AT73" i="4"/>
  <c r="AR73" i="4"/>
  <c r="AW102" i="4"/>
  <c r="AW43" i="4" s="1"/>
  <c r="AO73" i="4"/>
  <c r="AP102" i="4"/>
  <c r="AP43" i="4" s="1"/>
  <c r="AY102" i="4"/>
  <c r="AY43" i="4" s="1"/>
  <c r="AV102" i="4"/>
  <c r="AV43" i="4" s="1"/>
  <c r="AS102" i="4"/>
  <c r="AS43" i="4" s="1"/>
  <c r="AZ73" i="4"/>
  <c r="AY73" i="4"/>
  <c r="AW73" i="4"/>
  <c r="AX73" i="4"/>
  <c r="AQ102" i="4"/>
  <c r="AQ43" i="4" s="1"/>
  <c r="BB73" i="4"/>
  <c r="BB102" i="4"/>
  <c r="BB43" i="4" s="1"/>
  <c r="AQ73" i="4"/>
  <c r="AU73" i="4"/>
  <c r="BE73" i="4"/>
  <c r="BC73" i="4"/>
  <c r="BH73" i="4"/>
  <c r="AV73" i="4"/>
  <c r="AS73" i="4"/>
  <c r="BE102" i="4"/>
  <c r="BE43" i="4" s="1"/>
  <c r="BG73" i="4"/>
  <c r="AZ102" i="4"/>
  <c r="AZ43" i="4" s="1"/>
  <c r="AE73" i="4"/>
  <c r="AO102" i="4"/>
  <c r="AO43" i="4" s="1"/>
  <c r="BG102" i="4"/>
  <c r="BG43" i="4" s="1"/>
  <c r="AX102" i="4"/>
  <c r="AX43" i="4" s="1"/>
  <c r="AT102" i="4"/>
  <c r="AT43" i="4" s="1"/>
  <c r="BD73" i="4"/>
  <c r="BD102" i="4"/>
  <c r="BD43" i="4" s="1"/>
  <c r="AR102" i="4"/>
  <c r="AR43" i="4" s="1"/>
  <c r="BC102" i="4"/>
  <c r="BC43" i="4" s="1"/>
  <c r="BF102" i="4"/>
  <c r="BF43" i="4" s="1"/>
  <c r="BF73" i="4"/>
  <c r="Y86" i="6"/>
  <c r="V86" i="6"/>
  <c r="BJ43" i="4" l="1"/>
  <c r="BI43" i="4"/>
  <c r="AM43" i="4"/>
  <c r="BI73" i="4"/>
  <c r="AN43" i="4" l="1"/>
  <c r="Z86" i="6" s="1"/>
  <c r="L86" i="6"/>
  <c r="AC86" i="6" l="1"/>
  <c r="AE86" i="6" l="1"/>
  <c r="F86" i="6" s="1"/>
  <c r="AG86" i="6"/>
  <c r="AH86" i="6"/>
  <c r="AK86" i="6" s="1"/>
  <c r="AI7" i="8" l="1"/>
  <c r="AJ86" i="6"/>
  <c r="C43" i="38" s="1"/>
  <c r="M87" i="6"/>
  <c r="I87" i="6" s="1"/>
  <c r="H87" i="6" s="1"/>
  <c r="AL86" i="6" l="1"/>
  <c r="X86" i="6" s="1"/>
  <c r="G87" i="6"/>
  <c r="J87" i="6" s="1"/>
  <c r="T87" i="6" l="1"/>
  <c r="W87" i="6" s="1"/>
  <c r="X116" i="6" s="1"/>
  <c r="U87" i="6"/>
  <c r="K87" i="6"/>
  <c r="P87" i="6"/>
  <c r="Q87" i="6" s="1"/>
  <c r="R87" i="6" s="1"/>
  <c r="AE44" i="4"/>
  <c r="AU74" i="4" s="1"/>
  <c r="BB74" i="4" l="1"/>
  <c r="AS103" i="4"/>
  <c r="AS44" i="4" s="1"/>
  <c r="BC74" i="4"/>
  <c r="AW74" i="4"/>
  <c r="AR103" i="4"/>
  <c r="AR44" i="4" s="1"/>
  <c r="BA74" i="4"/>
  <c r="AZ103" i="4"/>
  <c r="AZ44" i="4" s="1"/>
  <c r="AO103" i="4"/>
  <c r="AO44" i="4" s="1"/>
  <c r="AP74" i="4"/>
  <c r="AQ74" i="4"/>
  <c r="AE74" i="4"/>
  <c r="AO74" i="4"/>
  <c r="BE103" i="4"/>
  <c r="BE44" i="4" s="1"/>
  <c r="BH74" i="4"/>
  <c r="BB103" i="4"/>
  <c r="BB44" i="4" s="1"/>
  <c r="BC103" i="4"/>
  <c r="BC44" i="4" s="1"/>
  <c r="AT74" i="4"/>
  <c r="AT103" i="4"/>
  <c r="AT44" i="4" s="1"/>
  <c r="AY74" i="4"/>
  <c r="AV103" i="4"/>
  <c r="AV44" i="4" s="1"/>
  <c r="AP103" i="4"/>
  <c r="AP44" i="4" s="1"/>
  <c r="AQ103" i="4"/>
  <c r="AQ44" i="4" s="1"/>
  <c r="AW103" i="4"/>
  <c r="AW44" i="4" s="1"/>
  <c r="BD103" i="4"/>
  <c r="BD44" i="4" s="1"/>
  <c r="BE74" i="4"/>
  <c r="AX103" i="4"/>
  <c r="AX44" i="4" s="1"/>
  <c r="AU103" i="4"/>
  <c r="AU44" i="4" s="1"/>
  <c r="BH103" i="4"/>
  <c r="BH44" i="4" s="1"/>
  <c r="AV74" i="4"/>
  <c r="AX74" i="4"/>
  <c r="BA103" i="4"/>
  <c r="BA44" i="4" s="1"/>
  <c r="BG103" i="4"/>
  <c r="BG44" i="4" s="1"/>
  <c r="AS74" i="4"/>
  <c r="BF74" i="4"/>
  <c r="BG74" i="4"/>
  <c r="AZ74" i="4"/>
  <c r="BD74" i="4"/>
  <c r="AR74" i="4"/>
  <c r="AY103" i="4"/>
  <c r="AY44" i="4" s="1"/>
  <c r="BF103" i="4"/>
  <c r="BF44" i="4" s="1"/>
  <c r="V87" i="6"/>
  <c r="Y87" i="6"/>
  <c r="BI44" i="4" l="1"/>
  <c r="BJ44" i="4"/>
  <c r="AM44" i="4"/>
  <c r="BI74" i="4"/>
  <c r="AN44" i="4" l="1"/>
  <c r="Z87" i="6" s="1"/>
  <c r="L87" i="6"/>
  <c r="AC87" i="6" l="1"/>
  <c r="AG87" i="6" l="1"/>
  <c r="AE87" i="6"/>
  <c r="F87" i="6" s="1"/>
  <c r="AH87" i="6"/>
  <c r="AK87" i="6" s="1"/>
  <c r="AJ87" i="6" l="1"/>
  <c r="AI8" i="8"/>
  <c r="M88" i="6"/>
  <c r="I88" i="6" s="1"/>
  <c r="H88" i="6" s="1"/>
  <c r="AL87" i="6" l="1"/>
  <c r="X87" i="6" s="1"/>
  <c r="C44" i="38"/>
  <c r="G88" i="6"/>
  <c r="T88" i="6" l="1"/>
  <c r="W88" i="6" s="1"/>
  <c r="X117" i="6" s="1"/>
  <c r="P88" i="6"/>
  <c r="Q88" i="6" s="1"/>
  <c r="R88" i="6" s="1"/>
  <c r="U88" i="6"/>
  <c r="J88" i="6"/>
  <c r="K88" i="6" s="1"/>
  <c r="AE45" i="4"/>
  <c r="AX75" i="4" l="1"/>
  <c r="AS104" i="4"/>
  <c r="AS45" i="4" s="1"/>
  <c r="AZ104" i="4"/>
  <c r="AZ45" i="4" s="1"/>
  <c r="AV104" i="4"/>
  <c r="AV45" i="4" s="1"/>
  <c r="AQ104" i="4"/>
  <c r="AQ45" i="4" s="1"/>
  <c r="AU75" i="4"/>
  <c r="AU104" i="4"/>
  <c r="AU45" i="4" s="1"/>
  <c r="AR104" i="4"/>
  <c r="AR45" i="4" s="1"/>
  <c r="BH104" i="4"/>
  <c r="BH45" i="4" s="1"/>
  <c r="AQ75" i="4"/>
  <c r="BE104" i="4"/>
  <c r="BE45" i="4" s="1"/>
  <c r="BB104" i="4"/>
  <c r="BB45" i="4" s="1"/>
  <c r="AT75" i="4"/>
  <c r="BA104" i="4"/>
  <c r="BA45" i="4" s="1"/>
  <c r="BC104" i="4"/>
  <c r="BC45" i="4" s="1"/>
  <c r="BD75" i="4"/>
  <c r="AE75" i="4"/>
  <c r="AW75" i="4"/>
  <c r="AY104" i="4"/>
  <c r="AY45" i="4" s="1"/>
  <c r="AP104" i="4"/>
  <c r="AP45" i="4" s="1"/>
  <c r="AX104" i="4"/>
  <c r="AX45" i="4" s="1"/>
  <c r="AO75" i="4"/>
  <c r="AY75" i="4"/>
  <c r="AP75" i="4"/>
  <c r="BH75" i="4"/>
  <c r="AS75" i="4"/>
  <c r="AV75" i="4"/>
  <c r="BE75" i="4"/>
  <c r="BG104" i="4"/>
  <c r="BG45" i="4" s="1"/>
  <c r="AR75" i="4"/>
  <c r="BC75" i="4"/>
  <c r="BG75" i="4"/>
  <c r="AZ75" i="4"/>
  <c r="AT104" i="4"/>
  <c r="AT45" i="4" s="1"/>
  <c r="BF75" i="4"/>
  <c r="AO104" i="4"/>
  <c r="AO45" i="4" s="1"/>
  <c r="BB75" i="4"/>
  <c r="BD104" i="4"/>
  <c r="BD45" i="4" s="1"/>
  <c r="BF104" i="4"/>
  <c r="BF45" i="4" s="1"/>
  <c r="AW104" i="4"/>
  <c r="AW45" i="4" s="1"/>
  <c r="BA75" i="4"/>
  <c r="V88" i="6"/>
  <c r="Y88" i="6"/>
  <c r="AM45" i="4" l="1"/>
  <c r="L88" i="6" s="1"/>
  <c r="BJ45" i="4"/>
  <c r="BI45" i="4"/>
  <c r="BI75" i="4"/>
  <c r="AN45" i="4" l="1"/>
  <c r="Z88" i="6" s="1"/>
  <c r="AC88" i="6" l="1"/>
  <c r="AG88" i="6" s="1"/>
  <c r="AI9" i="8" l="1"/>
  <c r="AE88" i="6"/>
  <c r="F88" i="6" s="1"/>
  <c r="AH88" i="6"/>
  <c r="AK88" i="6" s="1"/>
  <c r="AJ88" i="6" l="1"/>
  <c r="M89" i="6"/>
  <c r="I89" i="6" s="1"/>
  <c r="H89" i="6" s="1"/>
  <c r="C45" i="38" l="1"/>
  <c r="AL88" i="6"/>
  <c r="X88" i="6" s="1"/>
  <c r="G89" i="6"/>
  <c r="T89" i="6" l="1"/>
  <c r="W89" i="6" s="1"/>
  <c r="X118" i="6" s="1"/>
  <c r="P89" i="6"/>
  <c r="Q89" i="6" s="1"/>
  <c r="R89" i="6" s="1"/>
  <c r="J89" i="6"/>
  <c r="K89" i="6" s="1"/>
  <c r="U89" i="6"/>
  <c r="AE46" i="4"/>
  <c r="AU76" i="4" s="1"/>
  <c r="BF105" i="4" l="1"/>
  <c r="BF46" i="4" s="1"/>
  <c r="AY105" i="4"/>
  <c r="AY46" i="4" s="1"/>
  <c r="AQ105" i="4"/>
  <c r="AQ46" i="4" s="1"/>
  <c r="AE76" i="4"/>
  <c r="AX105" i="4"/>
  <c r="AX46" i="4" s="1"/>
  <c r="AY76" i="4"/>
  <c r="AP105" i="4"/>
  <c r="AP46" i="4" s="1"/>
  <c r="AP76" i="4"/>
  <c r="AT76" i="4"/>
  <c r="BF76" i="4"/>
  <c r="BA105" i="4"/>
  <c r="BA46" i="4" s="1"/>
  <c r="BE76" i="4"/>
  <c r="AR76" i="4"/>
  <c r="BD76" i="4"/>
  <c r="BG76" i="4"/>
  <c r="AS76" i="4"/>
  <c r="BC105" i="4"/>
  <c r="BC46" i="4" s="1"/>
  <c r="BD105" i="4"/>
  <c r="BD46" i="4" s="1"/>
  <c r="BH105" i="4"/>
  <c r="BH46" i="4" s="1"/>
  <c r="AZ105" i="4"/>
  <c r="AZ46" i="4" s="1"/>
  <c r="AX76" i="4"/>
  <c r="AO105" i="4"/>
  <c r="AO46" i="4" s="1"/>
  <c r="BE105" i="4"/>
  <c r="BE46" i="4" s="1"/>
  <c r="AO76" i="4"/>
  <c r="BG105" i="4"/>
  <c r="BG46" i="4" s="1"/>
  <c r="AZ76" i="4"/>
  <c r="BB76" i="4"/>
  <c r="AW76" i="4"/>
  <c r="AS105" i="4"/>
  <c r="AS46" i="4" s="1"/>
  <c r="BH76" i="4"/>
  <c r="BC76" i="4"/>
  <c r="BA76" i="4"/>
  <c r="AV76" i="4"/>
  <c r="AW105" i="4"/>
  <c r="AW46" i="4" s="1"/>
  <c r="AU105" i="4"/>
  <c r="AU46" i="4" s="1"/>
  <c r="BB105" i="4"/>
  <c r="BB46" i="4" s="1"/>
  <c r="AR105" i="4"/>
  <c r="AR46" i="4" s="1"/>
  <c r="AQ76" i="4"/>
  <c r="AT105" i="4"/>
  <c r="AT46" i="4" s="1"/>
  <c r="AV105" i="4"/>
  <c r="AV46" i="4" s="1"/>
  <c r="Y89" i="6"/>
  <c r="V89" i="6"/>
  <c r="BI76" i="4" l="1"/>
  <c r="BI46" i="4"/>
  <c r="BJ46" i="4"/>
  <c r="AM46" i="4"/>
  <c r="AN46" i="4" l="1"/>
  <c r="L89" i="6"/>
  <c r="Z89" i="6" l="1"/>
  <c r="AC89" i="6"/>
  <c r="AG89" i="6" s="1"/>
  <c r="AE89" i="6" l="1"/>
  <c r="F89" i="6" s="1"/>
  <c r="AH89" i="6"/>
  <c r="AK89" i="6" s="1"/>
  <c r="AI10" i="8" l="1"/>
  <c r="AJ89" i="6"/>
  <c r="M90" i="6"/>
  <c r="I90" i="6" s="1"/>
  <c r="H90" i="6" s="1"/>
  <c r="G90" i="6" s="1"/>
  <c r="AL89" i="6" l="1"/>
  <c r="X89" i="6" s="1"/>
  <c r="C46" i="38"/>
  <c r="T90" i="6" l="1"/>
  <c r="W90" i="6" s="1"/>
  <c r="X119" i="6" s="1"/>
  <c r="U90" i="6"/>
  <c r="J90" i="6"/>
  <c r="K90" i="6" s="1"/>
  <c r="P90" i="6"/>
  <c r="Q90" i="6" s="1"/>
  <c r="R90" i="6" s="1"/>
  <c r="AE47" i="4"/>
  <c r="AV77" i="4" l="1"/>
  <c r="AS77" i="4"/>
  <c r="BG77" i="4"/>
  <c r="BC77" i="4"/>
  <c r="AV106" i="4"/>
  <c r="AV47" i="4" s="1"/>
  <c r="AU106" i="4"/>
  <c r="AU47" i="4" s="1"/>
  <c r="BA77" i="4"/>
  <c r="AR77" i="4"/>
  <c r="AQ77" i="4"/>
  <c r="AU77" i="4"/>
  <c r="BD106" i="4"/>
  <c r="BD47" i="4" s="1"/>
  <c r="AT77" i="4"/>
  <c r="AY77" i="4"/>
  <c r="AY106" i="4"/>
  <c r="AY47" i="4" s="1"/>
  <c r="BA106" i="4"/>
  <c r="BA47" i="4" s="1"/>
  <c r="AW106" i="4"/>
  <c r="AW47" i="4" s="1"/>
  <c r="BE106" i="4"/>
  <c r="BE47" i="4" s="1"/>
  <c r="AO77" i="4"/>
  <c r="AX77" i="4"/>
  <c r="AS106" i="4"/>
  <c r="AS47" i="4" s="1"/>
  <c r="AP106" i="4"/>
  <c r="AP47" i="4" s="1"/>
  <c r="AR106" i="4"/>
  <c r="AR47" i="4" s="1"/>
  <c r="AP77" i="4"/>
  <c r="BE77" i="4"/>
  <c r="AE77" i="4"/>
  <c r="AT106" i="4"/>
  <c r="AT47" i="4" s="1"/>
  <c r="BG106" i="4"/>
  <c r="BG47" i="4" s="1"/>
  <c r="BF106" i="4"/>
  <c r="BF47" i="4" s="1"/>
  <c r="BC106" i="4"/>
  <c r="BC47" i="4" s="1"/>
  <c r="BD77" i="4"/>
  <c r="AQ106" i="4"/>
  <c r="AQ47" i="4" s="1"/>
  <c r="BH106" i="4"/>
  <c r="BH47" i="4" s="1"/>
  <c r="AZ106" i="4"/>
  <c r="AZ47" i="4" s="1"/>
  <c r="AZ77" i="4"/>
  <c r="BB106" i="4"/>
  <c r="BB47" i="4" s="1"/>
  <c r="BB77" i="4"/>
  <c r="AW77" i="4"/>
  <c r="AO106" i="4"/>
  <c r="AO47" i="4" s="1"/>
  <c r="AX106" i="4"/>
  <c r="AX47" i="4" s="1"/>
  <c r="BF77" i="4"/>
  <c r="BH77" i="4"/>
  <c r="V90" i="6"/>
  <c r="Y90" i="6"/>
  <c r="BI47" i="4" l="1"/>
  <c r="BJ47" i="4"/>
  <c r="AM47" i="4"/>
  <c r="BI77" i="4"/>
  <c r="AN47" i="4" l="1"/>
  <c r="L90" i="6"/>
  <c r="Z90" i="6" l="1"/>
  <c r="AC90" i="6"/>
  <c r="AG90" i="6" s="1"/>
  <c r="AJ90" i="6" l="1"/>
  <c r="AE90" i="6"/>
  <c r="F90" i="6" s="1"/>
  <c r="AI11" i="8"/>
  <c r="AH90" i="6"/>
  <c r="AK90" i="6" s="1"/>
  <c r="M91" i="6" l="1"/>
  <c r="I91" i="6" s="1"/>
  <c r="H91" i="6" s="1"/>
  <c r="G91" i="6" s="1"/>
  <c r="T91" i="6" l="1"/>
  <c r="W91" i="6" s="1"/>
  <c r="X120" i="6" s="1"/>
  <c r="C47" i="38"/>
  <c r="AL90" i="6"/>
  <c r="X90" i="6" s="1"/>
  <c r="J91" i="6"/>
  <c r="K91" i="6" s="1"/>
  <c r="U91" i="6"/>
  <c r="P91" i="6"/>
  <c r="Q91" i="6" s="1"/>
  <c r="R91" i="6" s="1"/>
  <c r="AE48" i="4"/>
  <c r="AR78" i="4" l="1"/>
  <c r="AV107" i="4"/>
  <c r="AV48" i="4" s="1"/>
  <c r="AP78" i="4"/>
  <c r="AY107" i="4"/>
  <c r="AY48" i="4" s="1"/>
  <c r="AU107" i="4"/>
  <c r="AU48" i="4" s="1"/>
  <c r="AT107" i="4"/>
  <c r="AT48" i="4" s="1"/>
  <c r="BA78" i="4"/>
  <c r="AV78" i="4"/>
  <c r="BB78" i="4"/>
  <c r="BC78" i="4"/>
  <c r="AR107" i="4"/>
  <c r="AR48" i="4" s="1"/>
  <c r="BF107" i="4"/>
  <c r="BF48" i="4" s="1"/>
  <c r="AW78" i="4"/>
  <c r="AX107" i="4"/>
  <c r="AX48" i="4" s="1"/>
  <c r="BG107" i="4"/>
  <c r="BG48" i="4" s="1"/>
  <c r="AU78" i="4"/>
  <c r="AZ107" i="4"/>
  <c r="AZ48" i="4" s="1"/>
  <c r="BF78" i="4"/>
  <c r="AQ107" i="4"/>
  <c r="AQ48" i="4" s="1"/>
  <c r="AO78" i="4"/>
  <c r="AT78" i="4"/>
  <c r="AQ78" i="4"/>
  <c r="BB107" i="4"/>
  <c r="BB48" i="4" s="1"/>
  <c r="BD107" i="4"/>
  <c r="BD48" i="4" s="1"/>
  <c r="BD78" i="4"/>
  <c r="BC107" i="4"/>
  <c r="BC48" i="4" s="1"/>
  <c r="AY78" i="4"/>
  <c r="AP107" i="4"/>
  <c r="AP48" i="4" s="1"/>
  <c r="BG78" i="4"/>
  <c r="AX78" i="4"/>
  <c r="AZ78" i="4"/>
  <c r="BH78" i="4"/>
  <c r="AW107" i="4"/>
  <c r="AW48" i="4" s="1"/>
  <c r="BE78" i="4"/>
  <c r="AS78" i="4"/>
  <c r="BA107" i="4"/>
  <c r="BA48" i="4" s="1"/>
  <c r="AE78" i="4"/>
  <c r="AO107" i="4"/>
  <c r="AO48" i="4" s="1"/>
  <c r="BE107" i="4"/>
  <c r="BE48" i="4" s="1"/>
  <c r="AS107" i="4"/>
  <c r="AS48" i="4" s="1"/>
  <c r="BH107" i="4"/>
  <c r="BH48" i="4" s="1"/>
  <c r="V91" i="6"/>
  <c r="Y91" i="6"/>
  <c r="BI48" i="4" l="1"/>
  <c r="BJ48" i="4"/>
  <c r="AM48" i="4"/>
  <c r="BI78" i="4"/>
  <c r="AN48" i="4" l="1"/>
  <c r="Z91" i="6" s="1"/>
  <c r="L91" i="6"/>
  <c r="AC91" i="6" l="1"/>
  <c r="AE91" i="6" s="1"/>
  <c r="F91" i="6" l="1"/>
  <c r="AG91" i="6"/>
  <c r="AH91" i="6"/>
  <c r="AK91" i="6" s="1"/>
  <c r="AI12" i="8" l="1"/>
  <c r="AJ91" i="6"/>
  <c r="C48" i="38" s="1"/>
  <c r="M92" i="6"/>
  <c r="I92" i="6" s="1"/>
  <c r="H92" i="6" s="1"/>
  <c r="G92" i="6" l="1"/>
  <c r="AE49" i="4" s="1"/>
  <c r="AL91" i="6"/>
  <c r="X91" i="6" s="1"/>
  <c r="T92" i="6" l="1"/>
  <c r="W92" i="6" s="1"/>
  <c r="X121" i="6" s="1"/>
  <c r="P92" i="6"/>
  <c r="Q92" i="6" s="1"/>
  <c r="R92" i="6" s="1"/>
  <c r="J92" i="6"/>
  <c r="K92" i="6" s="1"/>
  <c r="U92" i="6"/>
  <c r="AZ108" i="4" l="1"/>
  <c r="AZ49" i="4" s="1"/>
  <c r="AO79" i="4"/>
  <c r="AE79" i="4"/>
  <c r="AY108" i="4"/>
  <c r="AY49" i="4" s="1"/>
  <c r="BB108" i="4"/>
  <c r="BB49" i="4" s="1"/>
  <c r="AW108" i="4"/>
  <c r="AW49" i="4" s="1"/>
  <c r="BH108" i="4"/>
  <c r="BH49" i="4" s="1"/>
  <c r="AY79" i="4"/>
  <c r="BH79" i="4"/>
  <c r="BG108" i="4"/>
  <c r="BG49" i="4" s="1"/>
  <c r="AS79" i="4"/>
  <c r="AU79" i="4"/>
  <c r="AQ108" i="4"/>
  <c r="AQ49" i="4" s="1"/>
  <c r="BB79" i="4"/>
  <c r="BD79" i="4"/>
  <c r="AQ79" i="4"/>
  <c r="AR79" i="4"/>
  <c r="AU108" i="4"/>
  <c r="AU49" i="4" s="1"/>
  <c r="BE108" i="4"/>
  <c r="BE49" i="4" s="1"/>
  <c r="BF108" i="4"/>
  <c r="BF49" i="4" s="1"/>
  <c r="BC108" i="4"/>
  <c r="BC49" i="4" s="1"/>
  <c r="AO108" i="4"/>
  <c r="AO49" i="4" s="1"/>
  <c r="BG79" i="4"/>
  <c r="BA108" i="4"/>
  <c r="BA49" i="4" s="1"/>
  <c r="BD108" i="4"/>
  <c r="BD49" i="4" s="1"/>
  <c r="AP108" i="4"/>
  <c r="AP49" i="4" s="1"/>
  <c r="BC79" i="4"/>
  <c r="AP79" i="4"/>
  <c r="AR108" i="4"/>
  <c r="AR49" i="4" s="1"/>
  <c r="AX79" i="4"/>
  <c r="AV79" i="4"/>
  <c r="AZ79" i="4"/>
  <c r="AT108" i="4"/>
  <c r="AT49" i="4" s="1"/>
  <c r="BF79" i="4"/>
  <c r="AS108" i="4"/>
  <c r="AS49" i="4" s="1"/>
  <c r="BE79" i="4"/>
  <c r="BA79" i="4"/>
  <c r="AW79" i="4"/>
  <c r="AV108" i="4"/>
  <c r="AV49" i="4" s="1"/>
  <c r="AT79" i="4"/>
  <c r="AX108" i="4"/>
  <c r="AX49" i="4" s="1"/>
  <c r="Y92" i="6"/>
  <c r="V92" i="6"/>
  <c r="BI49" i="4" l="1"/>
  <c r="BJ49" i="4"/>
  <c r="AM49" i="4"/>
  <c r="BI79" i="4"/>
  <c r="AN49" i="4" l="1"/>
  <c r="L92" i="6"/>
  <c r="Z92" i="6" l="1"/>
  <c r="AC92" i="6"/>
  <c r="AE92" i="6" s="1"/>
  <c r="F92" i="6" s="1"/>
  <c r="AH92" i="6" l="1"/>
  <c r="AK92" i="6" s="1"/>
  <c r="AG92" i="6"/>
  <c r="AJ92" i="6" s="1"/>
  <c r="C49" i="38" s="1"/>
  <c r="M93" i="6" l="1"/>
  <c r="I93" i="6" s="1"/>
  <c r="H93" i="6" s="1"/>
  <c r="G93" i="6" s="1"/>
  <c r="T93" i="6" s="1"/>
  <c r="AI13" i="8"/>
  <c r="AL92" i="6"/>
  <c r="X92" i="6" s="1"/>
  <c r="W93" i="6" l="1"/>
  <c r="X122" i="6" s="1"/>
  <c r="U93" i="6"/>
  <c r="P93" i="6"/>
  <c r="J93" i="6"/>
  <c r="K93" i="6" s="1"/>
  <c r="AE50" i="4"/>
  <c r="AP109" i="4" s="1"/>
  <c r="Q93" i="6" l="1"/>
  <c r="R93" i="6" s="1"/>
  <c r="AV80" i="4"/>
  <c r="AV109" i="4"/>
  <c r="AV50" i="4" s="1"/>
  <c r="BC109" i="4"/>
  <c r="BC50" i="4" s="1"/>
  <c r="AO109" i="4"/>
  <c r="AO50" i="4" s="1"/>
  <c r="BG109" i="4"/>
  <c r="BG50" i="4" s="1"/>
  <c r="BH80" i="4"/>
  <c r="AW109" i="4"/>
  <c r="AW50" i="4" s="1"/>
  <c r="AW80" i="4"/>
  <c r="AZ109" i="4"/>
  <c r="AZ50" i="4" s="1"/>
  <c r="AX109" i="4"/>
  <c r="AX50" i="4" s="1"/>
  <c r="BF80" i="4"/>
  <c r="AY109" i="4"/>
  <c r="AY50" i="4" s="1"/>
  <c r="BB109" i="4"/>
  <c r="BB50" i="4" s="1"/>
  <c r="AO80" i="4"/>
  <c r="AU109" i="4"/>
  <c r="AU50" i="4" s="1"/>
  <c r="BD109" i="4"/>
  <c r="BD50" i="4" s="1"/>
  <c r="AT80" i="4"/>
  <c r="BE109" i="4"/>
  <c r="BE50" i="4" s="1"/>
  <c r="BA109" i="4"/>
  <c r="BA50" i="4" s="1"/>
  <c r="BF109" i="4"/>
  <c r="BF50" i="4" s="1"/>
  <c r="BC80" i="4"/>
  <c r="AQ109" i="4"/>
  <c r="AQ50" i="4" s="1"/>
  <c r="AQ80" i="4"/>
  <c r="BA80" i="4"/>
  <c r="BG80" i="4"/>
  <c r="AX80" i="4"/>
  <c r="AE80" i="4"/>
  <c r="AP50" i="4"/>
  <c r="BH109" i="4"/>
  <c r="BH50" i="4" s="1"/>
  <c r="AP80" i="4"/>
  <c r="AZ80" i="4"/>
  <c r="AR80" i="4"/>
  <c r="BB80" i="4"/>
  <c r="AU80" i="4"/>
  <c r="BE80" i="4"/>
  <c r="BD80" i="4"/>
  <c r="AT109" i="4"/>
  <c r="AT50" i="4" s="1"/>
  <c r="AY80" i="4"/>
  <c r="AS80" i="4"/>
  <c r="AS109" i="4"/>
  <c r="AS50" i="4" s="1"/>
  <c r="AR109" i="4"/>
  <c r="AR50" i="4" s="1"/>
  <c r="V93" i="6"/>
  <c r="Y93" i="6"/>
  <c r="BI50" i="4" l="1"/>
  <c r="BJ50" i="4"/>
  <c r="AM50" i="4"/>
  <c r="L93" i="6" s="1"/>
  <c r="BI80" i="4"/>
  <c r="AN50" i="4" l="1"/>
  <c r="Z93" i="6" l="1"/>
  <c r="AC93" i="6"/>
  <c r="AG93" i="6" s="1"/>
  <c r="AE93" i="6" l="1"/>
  <c r="F93" i="6" s="1"/>
  <c r="AJ93" i="6"/>
  <c r="AI14" i="8"/>
  <c r="AH93" i="6"/>
  <c r="AK93" i="6" s="1"/>
  <c r="M94" i="6" l="1"/>
  <c r="I94" i="6" s="1"/>
  <c r="H94" i="6" s="1"/>
  <c r="G94" i="6" s="1"/>
  <c r="C50" i="38" l="1"/>
  <c r="AL93" i="6"/>
  <c r="X93" i="6" s="1"/>
  <c r="AE51" i="4" l="1"/>
  <c r="J94" i="6"/>
  <c r="K94" i="6" s="1"/>
  <c r="T94" i="6"/>
  <c r="P94" i="6"/>
  <c r="Q94" i="6" s="1"/>
  <c r="R94" i="6" s="1"/>
  <c r="U94" i="6"/>
  <c r="W94" i="6" l="1"/>
  <c r="X123" i="6" s="1"/>
  <c r="Y94" i="6"/>
  <c r="AO81" i="4"/>
  <c r="BD110" i="4"/>
  <c r="BD51" i="4" s="1"/>
  <c r="BF110" i="4"/>
  <c r="BF51" i="4" s="1"/>
  <c r="AU110" i="4"/>
  <c r="AU51" i="4" s="1"/>
  <c r="BE81" i="4"/>
  <c r="BC110" i="4"/>
  <c r="BC51" i="4" s="1"/>
  <c r="AP110" i="4"/>
  <c r="AP51" i="4" s="1"/>
  <c r="BF81" i="4"/>
  <c r="AY110" i="4"/>
  <c r="AY51" i="4" s="1"/>
  <c r="AX110" i="4"/>
  <c r="AX51" i="4" s="1"/>
  <c r="AQ81" i="4"/>
  <c r="BC81" i="4"/>
  <c r="AR81" i="4"/>
  <c r="AZ110" i="4"/>
  <c r="AZ51" i="4" s="1"/>
  <c r="AY81" i="4"/>
  <c r="AV110" i="4"/>
  <c r="AV51" i="4" s="1"/>
  <c r="AT110" i="4"/>
  <c r="AT51" i="4" s="1"/>
  <c r="BG110" i="4"/>
  <c r="BG51" i="4" s="1"/>
  <c r="BH81" i="4"/>
  <c r="AZ81" i="4"/>
  <c r="AX81" i="4"/>
  <c r="AV81" i="4"/>
  <c r="BE110" i="4"/>
  <c r="BE51" i="4" s="1"/>
  <c r="BH110" i="4"/>
  <c r="BH51" i="4" s="1"/>
  <c r="AQ110" i="4"/>
  <c r="AQ51" i="4" s="1"/>
  <c r="BD81" i="4"/>
  <c r="BB110" i="4"/>
  <c r="BB51" i="4" s="1"/>
  <c r="AS81" i="4"/>
  <c r="BG81" i="4"/>
  <c r="AE81" i="4"/>
  <c r="BB81" i="4"/>
  <c r="BA110" i="4"/>
  <c r="BA51" i="4" s="1"/>
  <c r="AO110" i="4"/>
  <c r="AO51" i="4" s="1"/>
  <c r="AS110" i="4"/>
  <c r="AS51" i="4" s="1"/>
  <c r="AR110" i="4"/>
  <c r="AR51" i="4" s="1"/>
  <c r="AU81" i="4"/>
  <c r="AW110" i="4"/>
  <c r="AW51" i="4" s="1"/>
  <c r="BA81" i="4"/>
  <c r="AP81" i="4"/>
  <c r="AW81" i="4"/>
  <c r="AT81" i="4"/>
  <c r="V94" i="6"/>
  <c r="AM51" i="4" l="1"/>
  <c r="BI51" i="4"/>
  <c r="BJ51" i="4"/>
  <c r="BI81" i="4"/>
  <c r="AN51" i="4" l="1"/>
  <c r="Z94" i="6" s="1"/>
  <c r="L94" i="6"/>
  <c r="AC94" i="6" l="1"/>
  <c r="AG94" i="6" s="1"/>
  <c r="AJ94" i="6" l="1"/>
  <c r="AE94" i="6"/>
  <c r="F94" i="6" s="1"/>
  <c r="AI15" i="8"/>
  <c r="AH94" i="6"/>
  <c r="AK94" i="6" s="1"/>
  <c r="M95" i="6" l="1"/>
  <c r="I95" i="6" s="1"/>
  <c r="H95" i="6" s="1"/>
  <c r="G95" i="6" s="1"/>
  <c r="J95" i="6" s="1"/>
  <c r="T95" i="6" l="1"/>
  <c r="W95" i="6" s="1"/>
  <c r="C51" i="38"/>
  <c r="AL94" i="6"/>
  <c r="X94" i="6" s="1"/>
  <c r="P95" i="6"/>
  <c r="Q95" i="6" s="1"/>
  <c r="R95" i="6" s="1"/>
  <c r="K95" i="6"/>
  <c r="U95" i="6"/>
  <c r="AE52" i="4"/>
  <c r="X124" i="6" l="1"/>
  <c r="AO82" i="4"/>
  <c r="BE82" i="4"/>
  <c r="BA82" i="4"/>
  <c r="AZ111" i="4"/>
  <c r="AZ52" i="4" s="1"/>
  <c r="AR111" i="4"/>
  <c r="AR52" i="4" s="1"/>
  <c r="AY82" i="4"/>
  <c r="AU82" i="4"/>
  <c r="BB111" i="4"/>
  <c r="BB52" i="4" s="1"/>
  <c r="AS82" i="4"/>
  <c r="AQ111" i="4"/>
  <c r="AQ52" i="4" s="1"/>
  <c r="AV82" i="4"/>
  <c r="BF111" i="4"/>
  <c r="BF52" i="4" s="1"/>
  <c r="AT82" i="4"/>
  <c r="AE82" i="4"/>
  <c r="AO111" i="4"/>
  <c r="AO52" i="4" s="1"/>
  <c r="AW82" i="4"/>
  <c r="BE111" i="4"/>
  <c r="BE52" i="4" s="1"/>
  <c r="AU111" i="4"/>
  <c r="AU52" i="4" s="1"/>
  <c r="AP111" i="4"/>
  <c r="AP52" i="4" s="1"/>
  <c r="BH82" i="4"/>
  <c r="AV111" i="4"/>
  <c r="AV52" i="4" s="1"/>
  <c r="BC111" i="4"/>
  <c r="BC52" i="4" s="1"/>
  <c r="AX82" i="4"/>
  <c r="BB82" i="4"/>
  <c r="AR82" i="4"/>
  <c r="AP82" i="4"/>
  <c r="BF82" i="4"/>
  <c r="BG82" i="4"/>
  <c r="AQ82" i="4"/>
  <c r="BD111" i="4"/>
  <c r="BD52" i="4" s="1"/>
  <c r="BH111" i="4"/>
  <c r="BH52" i="4" s="1"/>
  <c r="BC82" i="4"/>
  <c r="AY111" i="4"/>
  <c r="AY52" i="4" s="1"/>
  <c r="AT111" i="4"/>
  <c r="AT52" i="4" s="1"/>
  <c r="AZ82" i="4"/>
  <c r="AX111" i="4"/>
  <c r="AX52" i="4" s="1"/>
  <c r="BG111" i="4"/>
  <c r="BG52" i="4" s="1"/>
  <c r="BD82" i="4"/>
  <c r="BA111" i="4"/>
  <c r="BA52" i="4" s="1"/>
  <c r="AW111" i="4"/>
  <c r="AW52" i="4" s="1"/>
  <c r="AS111" i="4"/>
  <c r="AS52" i="4" s="1"/>
  <c r="Y95" i="6"/>
  <c r="V95" i="6"/>
  <c r="BI52" i="4" l="1"/>
  <c r="BJ52" i="4"/>
  <c r="AM52" i="4"/>
  <c r="BI82" i="4"/>
  <c r="L95" i="6" l="1"/>
  <c r="AN52" i="4"/>
  <c r="Z95" i="6" s="1"/>
  <c r="AC95" i="6" l="1"/>
  <c r="AE95" i="6" s="1"/>
  <c r="F95" i="6" l="1"/>
  <c r="AG95" i="6"/>
  <c r="AJ95" i="6" s="1"/>
  <c r="AH95" i="6"/>
  <c r="AK95" i="6" s="1"/>
  <c r="AI16" i="8" l="1"/>
  <c r="M96" i="6"/>
  <c r="I96" i="6" s="1"/>
  <c r="H96" i="6" s="1"/>
  <c r="AL95" i="6" l="1"/>
  <c r="X95" i="6" s="1"/>
  <c r="C52" i="38"/>
  <c r="G96" i="6"/>
  <c r="T96" i="6" l="1"/>
  <c r="W96" i="6" s="1"/>
  <c r="X125" i="6" s="1"/>
  <c r="J96" i="6"/>
  <c r="K96" i="6" s="1"/>
  <c r="P96" i="6"/>
  <c r="Q96" i="6" s="1"/>
  <c r="R96" i="6" s="1"/>
  <c r="U96" i="6"/>
  <c r="AE53" i="4"/>
  <c r="AP112" i="4" l="1"/>
  <c r="AP53" i="4" s="1"/>
  <c r="Y96" i="6"/>
  <c r="V96" i="6"/>
  <c r="AO112" i="4"/>
  <c r="AO53" i="4" s="1"/>
  <c r="AZ83" i="4"/>
  <c r="AT83" i="4"/>
  <c r="AQ83" i="4"/>
  <c r="BB83" i="4"/>
  <c r="BG112" i="4"/>
  <c r="BG53" i="4" s="1"/>
  <c r="AY112" i="4"/>
  <c r="AY53" i="4" s="1"/>
  <c r="BG83" i="4"/>
  <c r="AU112" i="4"/>
  <c r="AU53" i="4" s="1"/>
  <c r="BF112" i="4"/>
  <c r="BF53" i="4" s="1"/>
  <c r="BE112" i="4"/>
  <c r="BE53" i="4" s="1"/>
  <c r="BF83" i="4"/>
  <c r="AR112" i="4"/>
  <c r="AR53" i="4" s="1"/>
  <c r="AY83" i="4"/>
  <c r="BC112" i="4"/>
  <c r="BC53" i="4" s="1"/>
  <c r="AZ112" i="4"/>
  <c r="AZ53" i="4" s="1"/>
  <c r="AQ112" i="4"/>
  <c r="AQ53" i="4" s="1"/>
  <c r="AS83" i="4"/>
  <c r="AW112" i="4"/>
  <c r="AW53" i="4" s="1"/>
  <c r="AX112" i="4"/>
  <c r="AX53" i="4" s="1"/>
  <c r="AR83" i="4"/>
  <c r="BC83" i="4"/>
  <c r="AV83" i="4"/>
  <c r="BB112" i="4"/>
  <c r="BB53" i="4" s="1"/>
  <c r="AX83" i="4"/>
  <c r="BH112" i="4"/>
  <c r="BH53" i="4" s="1"/>
  <c r="BD112" i="4"/>
  <c r="BD53" i="4" s="1"/>
  <c r="AO83" i="4"/>
  <c r="AS112" i="4"/>
  <c r="AS53" i="4" s="1"/>
  <c r="BD83" i="4"/>
  <c r="AE83" i="4"/>
  <c r="AW83" i="4"/>
  <c r="BA83" i="4"/>
  <c r="BE83" i="4"/>
  <c r="AT112" i="4"/>
  <c r="AT53" i="4" s="1"/>
  <c r="BA112" i="4"/>
  <c r="BA53" i="4" s="1"/>
  <c r="AP83" i="4"/>
  <c r="AV112" i="4"/>
  <c r="AV53" i="4" s="1"/>
  <c r="BH83" i="4"/>
  <c r="AU83" i="4"/>
  <c r="AM53" i="4" l="1"/>
  <c r="L96" i="6" s="1"/>
  <c r="BI83" i="4"/>
  <c r="BI53" i="4"/>
  <c r="BJ53" i="4"/>
  <c r="AN53" i="4" l="1"/>
  <c r="Z96" i="6" l="1"/>
  <c r="AC96" i="6"/>
  <c r="AH96" i="6" s="1"/>
  <c r="AK96" i="6" s="1"/>
  <c r="AE96" i="6" l="1"/>
  <c r="F96" i="6" s="1"/>
  <c r="AG96" i="6"/>
  <c r="AJ96" i="6" s="1"/>
  <c r="M97" i="6" l="1"/>
  <c r="I97" i="6" s="1"/>
  <c r="H97" i="6" s="1"/>
  <c r="G97" i="6" s="1"/>
  <c r="J97" i="6" s="1"/>
  <c r="AI17" i="8"/>
  <c r="AL96" i="6"/>
  <c r="X96" i="6" s="1"/>
  <c r="C53" i="38"/>
  <c r="T97" i="6" l="1"/>
  <c r="W97" i="6" s="1"/>
  <c r="X126" i="6" s="1"/>
  <c r="AE54" i="4"/>
  <c r="K97" i="6"/>
  <c r="P97" i="6"/>
  <c r="Q97" i="6" s="1"/>
  <c r="R97" i="6" s="1"/>
  <c r="U97" i="6"/>
  <c r="Y97" i="6" l="1"/>
  <c r="V97" i="6"/>
  <c r="AS84" i="4"/>
  <c r="AO113" i="4"/>
  <c r="AO54" i="4" s="1"/>
  <c r="AV84" i="4"/>
  <c r="AO84" i="4"/>
  <c r="BB84" i="4"/>
  <c r="AY113" i="4"/>
  <c r="AY54" i="4" s="1"/>
  <c r="BD113" i="4"/>
  <c r="BD54" i="4" s="1"/>
  <c r="AW113" i="4"/>
  <c r="AW54" i="4" s="1"/>
  <c r="BE84" i="4"/>
  <c r="AZ113" i="4"/>
  <c r="AZ54" i="4" s="1"/>
  <c r="AR84" i="4"/>
  <c r="BG113" i="4"/>
  <c r="BG54" i="4" s="1"/>
  <c r="AP113" i="4"/>
  <c r="AP54" i="4" s="1"/>
  <c r="BA84" i="4"/>
  <c r="AU84" i="4"/>
  <c r="BB113" i="4"/>
  <c r="BB54" i="4" s="1"/>
  <c r="BF84" i="4"/>
  <c r="BD84" i="4"/>
  <c r="AT84" i="4"/>
  <c r="AY84" i="4"/>
  <c r="BC84" i="4"/>
  <c r="AT113" i="4"/>
  <c r="AT54" i="4" s="1"/>
  <c r="AS113" i="4"/>
  <c r="AS54" i="4" s="1"/>
  <c r="BF113" i="4"/>
  <c r="BF54" i="4" s="1"/>
  <c r="AW84" i="4"/>
  <c r="AP84" i="4"/>
  <c r="AU113" i="4"/>
  <c r="AU54" i="4" s="1"/>
  <c r="BE113" i="4"/>
  <c r="BE54" i="4" s="1"/>
  <c r="AQ84" i="4"/>
  <c r="AZ84" i="4"/>
  <c r="AX84" i="4"/>
  <c r="BG84" i="4"/>
  <c r="BC113" i="4"/>
  <c r="BC54" i="4" s="1"/>
  <c r="BA113" i="4"/>
  <c r="BA54" i="4" s="1"/>
  <c r="AV113" i="4"/>
  <c r="AV54" i="4" s="1"/>
  <c r="BH84" i="4"/>
  <c r="AQ113" i="4"/>
  <c r="AQ54" i="4" s="1"/>
  <c r="AE84" i="4"/>
  <c r="AR113" i="4"/>
  <c r="AR54" i="4" s="1"/>
  <c r="BH113" i="4"/>
  <c r="BH54" i="4" s="1"/>
  <c r="AX113" i="4"/>
  <c r="AX54" i="4" s="1"/>
  <c r="BI84" i="4" l="1"/>
  <c r="BI54" i="4"/>
  <c r="AM54" i="4"/>
  <c r="L97" i="6" s="1"/>
  <c r="BJ54" i="4"/>
  <c r="AN54" i="4" l="1"/>
  <c r="AC97" i="6" s="1"/>
  <c r="Z97" i="6" l="1"/>
  <c r="AE97" i="6"/>
  <c r="F97" i="6" s="1"/>
  <c r="AH97" i="6" l="1"/>
  <c r="AK97" i="6" s="1"/>
  <c r="AG97" i="6"/>
  <c r="M98" i="6" s="1"/>
  <c r="AI18" i="8" l="1"/>
  <c r="AJ97" i="6"/>
  <c r="C54" i="38" s="1"/>
  <c r="I98" i="6" l="1"/>
  <c r="H98" i="6" s="1"/>
  <c r="G98" i="6" s="1"/>
  <c r="AL97" i="6"/>
  <c r="X97" i="6" s="1"/>
  <c r="T98" i="6" l="1"/>
  <c r="W98" i="6" s="1"/>
  <c r="X127" i="6" s="1"/>
  <c r="AE55" i="4"/>
  <c r="AR85" i="4" s="1"/>
  <c r="U98" i="6"/>
  <c r="P98" i="6"/>
  <c r="Q98" i="6" s="1"/>
  <c r="R98" i="6" s="1"/>
  <c r="J98" i="6"/>
  <c r="K98" i="6" s="1"/>
  <c r="BC85" i="4" l="1"/>
  <c r="AT85" i="4"/>
  <c r="AP114" i="4"/>
  <c r="AP55" i="4" s="1"/>
  <c r="AV85" i="4"/>
  <c r="AW114" i="4"/>
  <c r="AW55" i="4" s="1"/>
  <c r="BA85" i="4"/>
  <c r="BA114" i="4"/>
  <c r="BA55" i="4" s="1"/>
  <c r="AS85" i="4"/>
  <c r="BF85" i="4"/>
  <c r="AR114" i="4"/>
  <c r="AR55" i="4" s="1"/>
  <c r="AX85" i="4"/>
  <c r="AT114" i="4"/>
  <c r="AT55" i="4" s="1"/>
  <c r="BF114" i="4"/>
  <c r="BF55" i="4" s="1"/>
  <c r="BE85" i="4"/>
  <c r="BD114" i="4"/>
  <c r="BD55" i="4" s="1"/>
  <c r="BH114" i="4"/>
  <c r="BH55" i="4" s="1"/>
  <c r="AQ85" i="4"/>
  <c r="AE85" i="4"/>
  <c r="AZ85" i="4"/>
  <c r="AQ114" i="4"/>
  <c r="AQ55" i="4" s="1"/>
  <c r="AZ114" i="4"/>
  <c r="AZ55" i="4" s="1"/>
  <c r="AS114" i="4"/>
  <c r="AS55" i="4" s="1"/>
  <c r="BH85" i="4"/>
  <c r="V98" i="6"/>
  <c r="AU85" i="4"/>
  <c r="AX114" i="4"/>
  <c r="AX55" i="4" s="1"/>
  <c r="BB114" i="4"/>
  <c r="BB55" i="4" s="1"/>
  <c r="BG85" i="4"/>
  <c r="BG114" i="4"/>
  <c r="BG55" i="4" s="1"/>
  <c r="AU114" i="4"/>
  <c r="AU55" i="4" s="1"/>
  <c r="BB85" i="4"/>
  <c r="AY114" i="4"/>
  <c r="AY55" i="4" s="1"/>
  <c r="BE114" i="4"/>
  <c r="BE55" i="4" s="1"/>
  <c r="BC114" i="4"/>
  <c r="BC55" i="4" s="1"/>
  <c r="Y98" i="6"/>
  <c r="BD85" i="4"/>
  <c r="AO114" i="4"/>
  <c r="AO55" i="4" s="1"/>
  <c r="AV114" i="4"/>
  <c r="AV55" i="4" s="1"/>
  <c r="AW85" i="4"/>
  <c r="AP85" i="4"/>
  <c r="AY85" i="4"/>
  <c r="AO85" i="4"/>
  <c r="AM55" i="4" l="1"/>
  <c r="L98" i="6" s="1"/>
  <c r="BJ55" i="4"/>
  <c r="BI55" i="4"/>
  <c r="BI85" i="4"/>
  <c r="AN55" i="4" l="1"/>
  <c r="Z98" i="6" s="1"/>
  <c r="AC98" i="6" l="1"/>
  <c r="AG98" i="6" s="1"/>
  <c r="AJ98" i="6" s="1"/>
  <c r="AE98" i="6" l="1"/>
  <c r="F98" i="6" s="1"/>
  <c r="AH98" i="6"/>
  <c r="AK98" i="6" s="1"/>
  <c r="AI19" i="8"/>
  <c r="AL98" i="6"/>
  <c r="X98" i="6" s="1"/>
  <c r="M99" i="6"/>
  <c r="I99" i="6" l="1"/>
  <c r="H99" i="6" s="1"/>
  <c r="C55" i="38"/>
  <c r="G99" i="6" l="1"/>
  <c r="AE56" i="4" s="1"/>
  <c r="T99" i="6" l="1"/>
  <c r="W99" i="6" s="1"/>
  <c r="X128" i="6" s="1"/>
  <c r="AU115" i="4"/>
  <c r="AU56" i="4" s="1"/>
  <c r="AY115" i="4"/>
  <c r="AY56" i="4" s="1"/>
  <c r="AS86" i="4"/>
  <c r="BC86" i="4"/>
  <c r="AW115" i="4"/>
  <c r="AW56" i="4" s="1"/>
  <c r="BD86" i="4"/>
  <c r="AX86" i="4"/>
  <c r="AZ115" i="4"/>
  <c r="AZ56" i="4" s="1"/>
  <c r="BE86" i="4"/>
  <c r="BH115" i="4"/>
  <c r="BH56" i="4" s="1"/>
  <c r="AW86" i="4"/>
  <c r="AQ115" i="4"/>
  <c r="AQ56" i="4" s="1"/>
  <c r="BF86" i="4"/>
  <c r="BE115" i="4"/>
  <c r="BE56" i="4" s="1"/>
  <c r="BG115" i="4"/>
  <c r="BG56" i="4" s="1"/>
  <c r="AO115" i="4"/>
  <c r="AO56" i="4" s="1"/>
  <c r="AP86" i="4"/>
  <c r="BD115" i="4"/>
  <c r="BD56" i="4" s="1"/>
  <c r="BA115" i="4"/>
  <c r="BA56" i="4" s="1"/>
  <c r="AZ86" i="4"/>
  <c r="AV115" i="4"/>
  <c r="AV56" i="4" s="1"/>
  <c r="AT115" i="4"/>
  <c r="AT56" i="4" s="1"/>
  <c r="BC115" i="4"/>
  <c r="BC56" i="4" s="1"/>
  <c r="AE86" i="4"/>
  <c r="BA86" i="4"/>
  <c r="BH86" i="4"/>
  <c r="AP115" i="4"/>
  <c r="AP56" i="4" s="1"/>
  <c r="AU86" i="4"/>
  <c r="AT86" i="4"/>
  <c r="BG86" i="4"/>
  <c r="AR86" i="4"/>
  <c r="AX115" i="4"/>
  <c r="AX56" i="4" s="1"/>
  <c r="AO86" i="4"/>
  <c r="AQ86" i="4"/>
  <c r="AR115" i="4"/>
  <c r="AR56" i="4" s="1"/>
  <c r="BB86" i="4"/>
  <c r="AS115" i="4"/>
  <c r="AS56" i="4" s="1"/>
  <c r="AV86" i="4"/>
  <c r="BF115" i="4"/>
  <c r="BF56" i="4" s="1"/>
  <c r="BB115" i="4"/>
  <c r="BB56" i="4" s="1"/>
  <c r="AY86" i="4"/>
  <c r="J99" i="6"/>
  <c r="K99" i="6" s="1"/>
  <c r="U99" i="6"/>
  <c r="P99" i="6"/>
  <c r="Q99" i="6" s="1"/>
  <c r="R99" i="6" s="1"/>
  <c r="V99" i="6" l="1"/>
  <c r="Y99" i="6"/>
  <c r="BI56" i="4"/>
  <c r="AM56" i="4"/>
  <c r="L99" i="6" s="1"/>
  <c r="BI86" i="4"/>
  <c r="BJ56" i="4"/>
  <c r="AN56" i="4" l="1"/>
  <c r="Z99" i="6" s="1"/>
  <c r="AC99" i="6" l="1"/>
  <c r="AH99" i="6" s="1"/>
  <c r="AK99" i="6" s="1"/>
  <c r="AE99" i="6" l="1"/>
  <c r="F99" i="6" s="1"/>
  <c r="AG99" i="6"/>
  <c r="AI20" i="8" l="1"/>
  <c r="AJ99" i="6"/>
  <c r="C56" i="38" s="1"/>
  <c r="M100" i="6"/>
  <c r="I100" i="6" s="1"/>
  <c r="H100" i="6" s="1"/>
  <c r="G100" i="6" s="1"/>
  <c r="AL99" i="6" l="1"/>
  <c r="X99" i="6" s="1"/>
  <c r="T100" i="6"/>
  <c r="W100" i="6" s="1"/>
  <c r="X129" i="6" s="1"/>
  <c r="J100" i="6"/>
  <c r="K100" i="6" s="1"/>
  <c r="P100" i="6"/>
  <c r="Q100" i="6" s="1"/>
  <c r="R100" i="6" s="1"/>
  <c r="U100" i="6"/>
  <c r="AE57" i="4"/>
  <c r="AO87" i="4" l="1"/>
  <c r="BE87" i="4"/>
  <c r="BC87" i="4"/>
  <c r="AR116" i="4"/>
  <c r="AR57" i="4" s="1"/>
  <c r="AY116" i="4"/>
  <c r="AY57" i="4" s="1"/>
  <c r="AE87" i="4"/>
  <c r="AV87" i="4"/>
  <c r="BH87" i="4"/>
  <c r="AX87" i="4"/>
  <c r="AT116" i="4"/>
  <c r="AT57" i="4" s="1"/>
  <c r="BG87" i="4"/>
  <c r="AX116" i="4"/>
  <c r="AX57" i="4" s="1"/>
  <c r="BC116" i="4"/>
  <c r="BC57" i="4" s="1"/>
  <c r="AW87" i="4"/>
  <c r="AO116" i="4"/>
  <c r="AO57" i="4" s="1"/>
  <c r="AZ116" i="4"/>
  <c r="AZ57" i="4" s="1"/>
  <c r="AU87" i="4"/>
  <c r="BB116" i="4"/>
  <c r="BB57" i="4" s="1"/>
  <c r="AS87" i="4"/>
  <c r="BE116" i="4"/>
  <c r="BE57" i="4" s="1"/>
  <c r="BG116" i="4"/>
  <c r="BG57" i="4" s="1"/>
  <c r="AP116" i="4"/>
  <c r="AP57" i="4" s="1"/>
  <c r="BB87" i="4"/>
  <c r="AQ116" i="4"/>
  <c r="AQ57" i="4" s="1"/>
  <c r="AR87" i="4"/>
  <c r="AT87" i="4"/>
  <c r="AW116" i="4"/>
  <c r="AW57" i="4" s="1"/>
  <c r="BD116" i="4"/>
  <c r="BD57" i="4" s="1"/>
  <c r="AP87" i="4"/>
  <c r="AZ87" i="4"/>
  <c r="AS116" i="4"/>
  <c r="AS57" i="4" s="1"/>
  <c r="AY87" i="4"/>
  <c r="BF116" i="4"/>
  <c r="BF57" i="4" s="1"/>
  <c r="AV116" i="4"/>
  <c r="AV57" i="4" s="1"/>
  <c r="BF87" i="4"/>
  <c r="BA116" i="4"/>
  <c r="BA57" i="4" s="1"/>
  <c r="AQ87" i="4"/>
  <c r="BD87" i="4"/>
  <c r="BH116" i="4"/>
  <c r="BH57" i="4" s="1"/>
  <c r="BA87" i="4"/>
  <c r="AU116" i="4"/>
  <c r="AU57" i="4" s="1"/>
  <c r="V100" i="6"/>
  <c r="Y100" i="6"/>
  <c r="BI57" i="4" l="1"/>
  <c r="BJ57" i="4"/>
  <c r="AM57" i="4"/>
  <c r="L100" i="6" s="1"/>
  <c r="BI87" i="4"/>
  <c r="AN57" i="4" l="1"/>
  <c r="Z100" i="6" s="1"/>
  <c r="AC100" i="6" l="1"/>
  <c r="AH100" i="6" s="1"/>
  <c r="AE100" i="6" l="1"/>
  <c r="F100" i="6" s="1"/>
  <c r="AG100" i="6"/>
  <c r="AK100" i="6"/>
  <c r="AI21" i="8" l="1"/>
  <c r="M101" i="6"/>
  <c r="I101" i="6" s="1"/>
  <c r="H101" i="6" s="1"/>
  <c r="AJ100" i="6"/>
  <c r="AL100" i="6" l="1"/>
  <c r="X100" i="6" s="1"/>
  <c r="C57" i="38"/>
  <c r="G101" i="6"/>
  <c r="T101" i="6" l="1"/>
  <c r="W101" i="6" s="1"/>
  <c r="X130" i="6" s="1"/>
  <c r="P101" i="6"/>
  <c r="Q101" i="6" s="1"/>
  <c r="R101" i="6" s="1"/>
  <c r="U101" i="6"/>
  <c r="J101" i="6"/>
  <c r="K101" i="6" s="1"/>
  <c r="AE58" i="4"/>
  <c r="AO88" i="4" l="1"/>
  <c r="AO117" i="4"/>
  <c r="AO58" i="4" s="1"/>
  <c r="BE88" i="4"/>
  <c r="AY88" i="4"/>
  <c r="AR117" i="4"/>
  <c r="AR58" i="4" s="1"/>
  <c r="BE117" i="4"/>
  <c r="BE58" i="4" s="1"/>
  <c r="BD88" i="4"/>
  <c r="BF117" i="4"/>
  <c r="BF58" i="4" s="1"/>
  <c r="AV117" i="4"/>
  <c r="AV58" i="4" s="1"/>
  <c r="AP117" i="4"/>
  <c r="AP58" i="4" s="1"/>
  <c r="AW88" i="4"/>
  <c r="AE88" i="4"/>
  <c r="BC117" i="4"/>
  <c r="BC58" i="4" s="1"/>
  <c r="AT88" i="4"/>
  <c r="BB117" i="4"/>
  <c r="BB58" i="4" s="1"/>
  <c r="AX88" i="4"/>
  <c r="BA117" i="4"/>
  <c r="BA58" i="4" s="1"/>
  <c r="BH117" i="4"/>
  <c r="BH58" i="4" s="1"/>
  <c r="AZ88" i="4"/>
  <c r="AX117" i="4"/>
  <c r="AX58" i="4" s="1"/>
  <c r="AQ88" i="4"/>
  <c r="BH88" i="4"/>
  <c r="AP88" i="4"/>
  <c r="AS117" i="4"/>
  <c r="AS58" i="4" s="1"/>
  <c r="AW117" i="4"/>
  <c r="AW58" i="4" s="1"/>
  <c r="BA88" i="4"/>
  <c r="BG88" i="4"/>
  <c r="BC88" i="4"/>
  <c r="BD117" i="4"/>
  <c r="BD58" i="4" s="1"/>
  <c r="AS88" i="4"/>
  <c r="AV88" i="4"/>
  <c r="AU88" i="4"/>
  <c r="AQ117" i="4"/>
  <c r="AQ58" i="4" s="1"/>
  <c r="BF88" i="4"/>
  <c r="BB88" i="4"/>
  <c r="AT117" i="4"/>
  <c r="AT58" i="4" s="1"/>
  <c r="AY117" i="4"/>
  <c r="AY58" i="4" s="1"/>
  <c r="AZ117" i="4"/>
  <c r="AZ58" i="4" s="1"/>
  <c r="AU117" i="4"/>
  <c r="AU58" i="4" s="1"/>
  <c r="AR88" i="4"/>
  <c r="BG117" i="4"/>
  <c r="BG58" i="4" s="1"/>
  <c r="V101" i="6"/>
  <c r="Y101" i="6"/>
  <c r="AM58" i="4" l="1"/>
  <c r="L101" i="6" s="1"/>
  <c r="BJ58" i="4"/>
  <c r="BI58" i="4"/>
  <c r="BI88" i="4"/>
  <c r="AN58" i="4" l="1"/>
  <c r="Z101" i="6" s="1"/>
  <c r="AC101" i="6" l="1"/>
  <c r="AE101" i="6" l="1"/>
  <c r="F101" i="6" s="1"/>
  <c r="AG101" i="6"/>
  <c r="AH101" i="6"/>
  <c r="AK101" i="6" s="1"/>
  <c r="AI22" i="8" l="1"/>
  <c r="AJ101" i="6"/>
  <c r="C58" i="38" s="1"/>
  <c r="M102" i="6"/>
  <c r="I102" i="6" s="1"/>
  <c r="H102" i="6" s="1"/>
  <c r="AL101" i="6" l="1"/>
  <c r="X101" i="6" s="1"/>
  <c r="G102" i="6"/>
  <c r="T102" i="6" l="1"/>
  <c r="W102" i="6" s="1"/>
  <c r="X131" i="6" s="1"/>
  <c r="J102" i="6"/>
  <c r="K102" i="6" s="1"/>
  <c r="P102" i="6"/>
  <c r="Q102" i="6" s="1"/>
  <c r="R102" i="6" s="1"/>
  <c r="U102" i="6"/>
  <c r="AE59" i="4"/>
  <c r="AO89" i="4" l="1"/>
  <c r="AT89" i="4"/>
  <c r="AV89" i="4"/>
  <c r="AY118" i="4"/>
  <c r="AY59" i="4" s="1"/>
  <c r="BA118" i="4"/>
  <c r="BA59" i="4" s="1"/>
  <c r="AX118" i="4"/>
  <c r="AX59" i="4" s="1"/>
  <c r="BA89" i="4"/>
  <c r="AP118" i="4"/>
  <c r="AP59" i="4" s="1"/>
  <c r="AZ89" i="4"/>
  <c r="BC89" i="4"/>
  <c r="AU118" i="4"/>
  <c r="AU59" i="4" s="1"/>
  <c r="BF118" i="4"/>
  <c r="BF59" i="4" s="1"/>
  <c r="BH89" i="4"/>
  <c r="AP89" i="4"/>
  <c r="AQ118" i="4"/>
  <c r="AQ59" i="4" s="1"/>
  <c r="AW118" i="4"/>
  <c r="AW59" i="4" s="1"/>
  <c r="BD118" i="4"/>
  <c r="BD59" i="4" s="1"/>
  <c r="BB118" i="4"/>
  <c r="BB59" i="4" s="1"/>
  <c r="AY89" i="4"/>
  <c r="BG118" i="4"/>
  <c r="BG59" i="4" s="1"/>
  <c r="AO118" i="4"/>
  <c r="AO59" i="4" s="1"/>
  <c r="BH118" i="4"/>
  <c r="BH59" i="4" s="1"/>
  <c r="AU89" i="4"/>
  <c r="AX89" i="4"/>
  <c r="BE118" i="4"/>
  <c r="BE59" i="4" s="1"/>
  <c r="AQ89" i="4"/>
  <c r="AR118" i="4"/>
  <c r="AR59" i="4" s="1"/>
  <c r="BF89" i="4"/>
  <c r="AW89" i="4"/>
  <c r="BD89" i="4"/>
  <c r="AS89" i="4"/>
  <c r="BG89" i="4"/>
  <c r="AS118" i="4"/>
  <c r="AS59" i="4" s="1"/>
  <c r="BE89" i="4"/>
  <c r="BB89" i="4"/>
  <c r="AR89" i="4"/>
  <c r="BC118" i="4"/>
  <c r="BC59" i="4" s="1"/>
  <c r="AE89" i="4"/>
  <c r="AZ118" i="4"/>
  <c r="AZ59" i="4" s="1"/>
  <c r="AT118" i="4"/>
  <c r="AT59" i="4" s="1"/>
  <c r="AV118" i="4"/>
  <c r="AV59" i="4" s="1"/>
  <c r="V102" i="6"/>
  <c r="Y102" i="6"/>
  <c r="BI59" i="4" l="1"/>
  <c r="BJ59" i="4"/>
  <c r="AM59" i="4"/>
  <c r="BI89" i="4"/>
  <c r="AN59" i="4" l="1"/>
  <c r="L102" i="6"/>
  <c r="Z102" i="6" l="1"/>
  <c r="AC102" i="6"/>
  <c r="AH102" i="6" s="1"/>
  <c r="AG102" i="6" l="1"/>
  <c r="AE102" i="6"/>
  <c r="F102" i="6" s="1"/>
  <c r="AK102" i="6"/>
  <c r="AI23" i="8" l="1"/>
  <c r="AJ102" i="6"/>
  <c r="AL102" i="6" s="1"/>
  <c r="X102" i="6" s="1"/>
  <c r="M103" i="6"/>
  <c r="I103" i="6" s="1"/>
  <c r="H103" i="6" s="1"/>
  <c r="C59" i="38" l="1"/>
  <c r="G103" i="6"/>
  <c r="T103" i="6" l="1"/>
  <c r="W103" i="6" s="1"/>
  <c r="X132" i="6" s="1"/>
  <c r="P103" i="6"/>
  <c r="U103" i="6"/>
  <c r="J103" i="6"/>
  <c r="K103" i="6" s="1"/>
  <c r="AE60" i="4"/>
  <c r="Q103" i="6" l="1"/>
  <c r="R103" i="6" s="1"/>
  <c r="BD90" i="4"/>
  <c r="AE90" i="4"/>
  <c r="AX119" i="4"/>
  <c r="AX60" i="4" s="1"/>
  <c r="AR119" i="4"/>
  <c r="AR60" i="4" s="1"/>
  <c r="AQ119" i="4"/>
  <c r="AQ60" i="4" s="1"/>
  <c r="AO90" i="4"/>
  <c r="AV90" i="4"/>
  <c r="AW90" i="4"/>
  <c r="BB119" i="4"/>
  <c r="BB60" i="4" s="1"/>
  <c r="BH119" i="4"/>
  <c r="BH60" i="4" s="1"/>
  <c r="BE90" i="4"/>
  <c r="AW119" i="4"/>
  <c r="AW60" i="4" s="1"/>
  <c r="BE119" i="4"/>
  <c r="BE60" i="4" s="1"/>
  <c r="AR90" i="4"/>
  <c r="AS119" i="4"/>
  <c r="AS60" i="4" s="1"/>
  <c r="BA119" i="4"/>
  <c r="BA60" i="4" s="1"/>
  <c r="AT90" i="4"/>
  <c r="AP90" i="4"/>
  <c r="BC90" i="4"/>
  <c r="AQ90" i="4"/>
  <c r="AT119" i="4"/>
  <c r="AT60" i="4" s="1"/>
  <c r="AX90" i="4"/>
  <c r="BD119" i="4"/>
  <c r="BD60" i="4" s="1"/>
  <c r="AZ119" i="4"/>
  <c r="AZ60" i="4" s="1"/>
  <c r="AU90" i="4"/>
  <c r="AU119" i="4"/>
  <c r="AU60" i="4" s="1"/>
  <c r="AZ90" i="4"/>
  <c r="BA90" i="4"/>
  <c r="BF90" i="4"/>
  <c r="BF119" i="4"/>
  <c r="BF60" i="4" s="1"/>
  <c r="AP119" i="4"/>
  <c r="AP60" i="4" s="1"/>
  <c r="AS90" i="4"/>
  <c r="BG119" i="4"/>
  <c r="BG60" i="4" s="1"/>
  <c r="BG90" i="4"/>
  <c r="AY119" i="4"/>
  <c r="AY60" i="4" s="1"/>
  <c r="AV119" i="4"/>
  <c r="AV60" i="4" s="1"/>
  <c r="AO119" i="4"/>
  <c r="AO60" i="4" s="1"/>
  <c r="BB90" i="4"/>
  <c r="BH90" i="4"/>
  <c r="BC119" i="4"/>
  <c r="BC60" i="4" s="1"/>
  <c r="AY90" i="4"/>
  <c r="V103" i="6"/>
  <c r="Y103" i="6"/>
  <c r="BJ60" i="4" l="1"/>
  <c r="BI60" i="4"/>
  <c r="AM60" i="4"/>
  <c r="BI90" i="4"/>
  <c r="AN60" i="4" l="1"/>
  <c r="Z103" i="6" s="1"/>
  <c r="L103" i="6"/>
  <c r="AC103" i="6" l="1"/>
  <c r="AE103" i="6" l="1"/>
  <c r="F103" i="6" s="1"/>
  <c r="AG103" i="6"/>
  <c r="AH103" i="6"/>
  <c r="AK103" i="6" s="1"/>
  <c r="AI24" i="8" l="1"/>
  <c r="AJ103" i="6"/>
  <c r="C60" i="38" s="1"/>
  <c r="M104" i="6"/>
  <c r="I104" i="6" s="1"/>
  <c r="H104" i="6" s="1"/>
  <c r="AL103" i="6" l="1"/>
  <c r="X103" i="6" s="1"/>
  <c r="G104" i="6"/>
  <c r="T104" i="6" l="1"/>
  <c r="W104" i="6" s="1"/>
  <c r="X133" i="6" s="1"/>
  <c r="P104" i="6"/>
  <c r="U104" i="6"/>
  <c r="J104" i="6"/>
  <c r="K104" i="6" s="1"/>
  <c r="AE61" i="4"/>
  <c r="Q104" i="6" l="1"/>
  <c r="R104" i="6" s="1"/>
  <c r="BG120" i="4"/>
  <c r="BG61" i="4" s="1"/>
  <c r="AZ91" i="4"/>
  <c r="BD91" i="4"/>
  <c r="BG91" i="4"/>
  <c r="AS120" i="4"/>
  <c r="AS61" i="4" s="1"/>
  <c r="AW120" i="4"/>
  <c r="AW61" i="4" s="1"/>
  <c r="AR91" i="4"/>
  <c r="BC120" i="4"/>
  <c r="BC61" i="4" s="1"/>
  <c r="AE91" i="4"/>
  <c r="BA91" i="4"/>
  <c r="BC91" i="4"/>
  <c r="AZ120" i="4"/>
  <c r="AZ61" i="4" s="1"/>
  <c r="BB91" i="4"/>
  <c r="BE91" i="4"/>
  <c r="AY120" i="4"/>
  <c r="AY61" i="4" s="1"/>
  <c r="AU91" i="4"/>
  <c r="AO120" i="4"/>
  <c r="AO61" i="4" s="1"/>
  <c r="AQ91" i="4"/>
  <c r="AS91" i="4"/>
  <c r="AT120" i="4"/>
  <c r="AT61" i="4" s="1"/>
  <c r="BF120" i="4"/>
  <c r="BF61" i="4" s="1"/>
  <c r="BA120" i="4"/>
  <c r="BA61" i="4" s="1"/>
  <c r="AR120" i="4"/>
  <c r="AR61" i="4" s="1"/>
  <c r="AX91" i="4"/>
  <c r="AP91" i="4"/>
  <c r="BH120" i="4"/>
  <c r="BH61" i="4" s="1"/>
  <c r="AV120" i="4"/>
  <c r="AV61" i="4" s="1"/>
  <c r="AY91" i="4"/>
  <c r="AP120" i="4"/>
  <c r="AP61" i="4" s="1"/>
  <c r="BF91" i="4"/>
  <c r="AW91" i="4"/>
  <c r="AV91" i="4"/>
  <c r="AT91" i="4"/>
  <c r="AX120" i="4"/>
  <c r="AX61" i="4" s="1"/>
  <c r="AO91" i="4"/>
  <c r="AU120" i="4"/>
  <c r="AU61" i="4" s="1"/>
  <c r="BE120" i="4"/>
  <c r="BE61" i="4" s="1"/>
  <c r="AQ120" i="4"/>
  <c r="AQ61" i="4" s="1"/>
  <c r="BD120" i="4"/>
  <c r="BD61" i="4" s="1"/>
  <c r="BB120" i="4"/>
  <c r="BB61" i="4" s="1"/>
  <c r="BH91" i="4"/>
  <c r="V104" i="6"/>
  <c r="Y104" i="6"/>
  <c r="BI91" i="4" l="1"/>
  <c r="BJ61" i="4"/>
  <c r="BI61" i="4"/>
  <c r="AM61" i="4"/>
  <c r="AN61" i="4" l="1"/>
  <c r="Z104" i="6" s="1"/>
  <c r="L104" i="6"/>
  <c r="AC104" i="6" l="1"/>
  <c r="AG104" i="6" s="1"/>
  <c r="AE104" i="6" l="1"/>
  <c r="F104" i="6" s="1"/>
  <c r="AI25" i="8"/>
  <c r="AJ104" i="6"/>
  <c r="AL104" i="6" s="1"/>
  <c r="X104" i="6" s="1"/>
  <c r="AH104" i="6"/>
  <c r="AK104" i="6" s="1"/>
  <c r="M105" i="6"/>
  <c r="I105" i="6" s="1"/>
  <c r="H105" i="6" s="1"/>
  <c r="G105" i="6" s="1"/>
  <c r="C61" i="38" l="1"/>
  <c r="T105" i="6" l="1"/>
  <c r="W105" i="6" s="1"/>
  <c r="X134" i="6" s="1"/>
  <c r="P105" i="6"/>
  <c r="Q105" i="6" s="1"/>
  <c r="R105" i="6" s="1"/>
  <c r="AE62" i="4"/>
  <c r="U105" i="6"/>
  <c r="J105" i="6"/>
  <c r="K105" i="6" s="1"/>
  <c r="Y105" i="6" l="1"/>
  <c r="V105" i="6"/>
  <c r="AO92" i="4"/>
  <c r="AO121" i="4"/>
  <c r="AO62" i="4" s="1"/>
  <c r="BC121" i="4"/>
  <c r="BC62" i="4" s="1"/>
  <c r="AS92" i="4"/>
  <c r="AP92" i="4"/>
  <c r="AX121" i="4"/>
  <c r="AX62" i="4" s="1"/>
  <c r="BD92" i="4"/>
  <c r="BA92" i="4"/>
  <c r="BH121" i="4"/>
  <c r="BH62" i="4" s="1"/>
  <c r="AW92" i="4"/>
  <c r="AT92" i="4"/>
  <c r="BD121" i="4"/>
  <c r="BD62" i="4" s="1"/>
  <c r="AQ121" i="4"/>
  <c r="AQ62" i="4" s="1"/>
  <c r="BE92" i="4"/>
  <c r="AY92" i="4"/>
  <c r="BF121" i="4"/>
  <c r="BF62" i="4" s="1"/>
  <c r="BG121" i="4"/>
  <c r="BG62" i="4" s="1"/>
  <c r="BB92" i="4"/>
  <c r="AW121" i="4"/>
  <c r="AW62" i="4" s="1"/>
  <c r="BE121" i="4"/>
  <c r="BE62" i="4" s="1"/>
  <c r="BH92" i="4"/>
  <c r="AZ92" i="4"/>
  <c r="BB121" i="4"/>
  <c r="BB62" i="4" s="1"/>
  <c r="BA121" i="4"/>
  <c r="BA62" i="4" s="1"/>
  <c r="AE92" i="4"/>
  <c r="BF92" i="4"/>
  <c r="BG92" i="4"/>
  <c r="AR121" i="4"/>
  <c r="AR62" i="4" s="1"/>
  <c r="AS121" i="4"/>
  <c r="AS62" i="4" s="1"/>
  <c r="AY121" i="4"/>
  <c r="AY62" i="4" s="1"/>
  <c r="AP121" i="4"/>
  <c r="AP62" i="4" s="1"/>
  <c r="AQ92" i="4"/>
  <c r="AT121" i="4"/>
  <c r="AT62" i="4" s="1"/>
  <c r="AX92" i="4"/>
  <c r="AV121" i="4"/>
  <c r="AV62" i="4" s="1"/>
  <c r="AU92" i="4"/>
  <c r="BC92" i="4"/>
  <c r="AR92" i="4"/>
  <c r="AU121" i="4"/>
  <c r="AU62" i="4" s="1"/>
  <c r="AZ121" i="4"/>
  <c r="AZ62" i="4" s="1"/>
  <c r="AV92" i="4"/>
  <c r="BI92" i="4" l="1"/>
  <c r="BI62" i="4"/>
  <c r="BJ62" i="4"/>
  <c r="AM62" i="4"/>
  <c r="AN62" i="4" l="1"/>
  <c r="Z105" i="6" s="1"/>
  <c r="L105" i="6"/>
  <c r="AC105" i="6" l="1"/>
  <c r="AH105" i="6" l="1"/>
  <c r="AK105" i="6" s="1"/>
  <c r="AG105" i="6"/>
  <c r="AE105" i="6"/>
  <c r="F105" i="6" s="1"/>
  <c r="AI26" i="8" l="1"/>
  <c r="M106" i="6"/>
  <c r="I106" i="6" s="1"/>
  <c r="H106" i="6" s="1"/>
  <c r="AJ105" i="6"/>
  <c r="C62" i="38" s="1"/>
  <c r="AL105" i="6" l="1"/>
  <c r="X105" i="6" s="1"/>
  <c r="G106" i="6"/>
  <c r="T106" i="6" l="1"/>
  <c r="W106" i="6" s="1"/>
  <c r="X135" i="6" s="1"/>
  <c r="P106" i="6"/>
  <c r="Q106" i="6" s="1"/>
  <c r="R106" i="6" s="1"/>
  <c r="J106" i="6"/>
  <c r="K106" i="6" s="1"/>
  <c r="U106" i="6"/>
  <c r="AE63" i="4"/>
  <c r="Y106" i="6" l="1"/>
  <c r="V106" i="6"/>
  <c r="AO93" i="4"/>
  <c r="AT93" i="4"/>
  <c r="AY93" i="4"/>
  <c r="BG122" i="4"/>
  <c r="BG63" i="4" s="1"/>
  <c r="AX93" i="4"/>
  <c r="BE122" i="4"/>
  <c r="BE63" i="4" s="1"/>
  <c r="BA122" i="4"/>
  <c r="BA63" i="4" s="1"/>
  <c r="AV93" i="4"/>
  <c r="BH93" i="4"/>
  <c r="AW122" i="4"/>
  <c r="AW63" i="4" s="1"/>
  <c r="AS93" i="4"/>
  <c r="BD122" i="4"/>
  <c r="BD63" i="4" s="1"/>
  <c r="AP122" i="4"/>
  <c r="AP63" i="4" s="1"/>
  <c r="BC122" i="4"/>
  <c r="BC63" i="4" s="1"/>
  <c r="AS122" i="4"/>
  <c r="AS63" i="4" s="1"/>
  <c r="BE93" i="4"/>
  <c r="BF122" i="4"/>
  <c r="BF63" i="4" s="1"/>
  <c r="AP93" i="4"/>
  <c r="BA93" i="4"/>
  <c r="AU122" i="4"/>
  <c r="AU63" i="4" s="1"/>
  <c r="BC93" i="4"/>
  <c r="BF93" i="4"/>
  <c r="AQ122" i="4"/>
  <c r="AQ63" i="4" s="1"/>
  <c r="AQ93" i="4"/>
  <c r="AT122" i="4"/>
  <c r="AT63" i="4" s="1"/>
  <c r="BG93" i="4"/>
  <c r="AR93" i="4"/>
  <c r="AW93" i="4"/>
  <c r="BD93" i="4"/>
  <c r="BB122" i="4"/>
  <c r="BB63" i="4" s="1"/>
  <c r="BH122" i="4"/>
  <c r="BH63" i="4" s="1"/>
  <c r="AU93" i="4"/>
  <c r="AO122" i="4"/>
  <c r="AO63" i="4" s="1"/>
  <c r="AZ93" i="4"/>
  <c r="BB93" i="4"/>
  <c r="AZ122" i="4"/>
  <c r="AZ63" i="4" s="1"/>
  <c r="AR122" i="4"/>
  <c r="AR63" i="4" s="1"/>
  <c r="AE93" i="4"/>
  <c r="AX122" i="4"/>
  <c r="AX63" i="4" s="1"/>
  <c r="AY122" i="4"/>
  <c r="AY63" i="4" s="1"/>
  <c r="AV122" i="4"/>
  <c r="AV63" i="4" s="1"/>
  <c r="BI63" i="4" l="1"/>
  <c r="BJ63" i="4"/>
  <c r="AM63" i="4"/>
  <c r="BI93" i="4"/>
  <c r="AN63" i="4" l="1"/>
  <c r="Z106" i="6" s="1"/>
  <c r="L106" i="6"/>
  <c r="AC106" i="6" l="1"/>
  <c r="AH106" i="6" l="1"/>
  <c r="AK106" i="6" s="1"/>
  <c r="AG106" i="6"/>
  <c r="AE106" i="6"/>
  <c r="F106" i="6" s="1"/>
  <c r="AI27" i="8" l="1"/>
  <c r="AJ106" i="6"/>
  <c r="M107" i="6"/>
  <c r="I107" i="6" s="1"/>
  <c r="H107" i="6" s="1"/>
  <c r="C63" i="38" l="1"/>
  <c r="AL106" i="6"/>
  <c r="X106" i="6" s="1"/>
  <c r="G107" i="6"/>
  <c r="T107" i="6" l="1"/>
  <c r="W107" i="6" s="1"/>
  <c r="X136" i="6" s="1"/>
  <c r="U107" i="6"/>
  <c r="AE64" i="4"/>
  <c r="J107" i="6"/>
  <c r="K107" i="6" s="1"/>
  <c r="P107" i="6"/>
  <c r="Q107" i="6" s="1"/>
  <c r="R107" i="6" s="1"/>
  <c r="Y107" i="6" l="1"/>
  <c r="V107" i="6"/>
  <c r="AO94" i="4"/>
  <c r="AS123" i="4"/>
  <c r="AS64" i="4" s="1"/>
  <c r="AT94" i="4"/>
  <c r="BE123" i="4"/>
  <c r="BE64" i="4" s="1"/>
  <c r="BE94" i="4"/>
  <c r="AY94" i="4"/>
  <c r="AQ94" i="4"/>
  <c r="AU123" i="4"/>
  <c r="AU64" i="4" s="1"/>
  <c r="AQ123" i="4"/>
  <c r="AQ64" i="4" s="1"/>
  <c r="BD123" i="4"/>
  <c r="BD64" i="4" s="1"/>
  <c r="BC94" i="4"/>
  <c r="BA94" i="4"/>
  <c r="AX123" i="4"/>
  <c r="AX64" i="4" s="1"/>
  <c r="BG94" i="4"/>
  <c r="AR94" i="4"/>
  <c r="AZ123" i="4"/>
  <c r="AZ64" i="4" s="1"/>
  <c r="BB94" i="4"/>
  <c r="AV123" i="4"/>
  <c r="AV64" i="4" s="1"/>
  <c r="AX94" i="4"/>
  <c r="AE94" i="4"/>
  <c r="BB123" i="4"/>
  <c r="BB64" i="4" s="1"/>
  <c r="AP94" i="4"/>
  <c r="AU94" i="4"/>
  <c r="BH94" i="4"/>
  <c r="AV94" i="4"/>
  <c r="BF123" i="4"/>
  <c r="BF64" i="4" s="1"/>
  <c r="AT123" i="4"/>
  <c r="AT64" i="4" s="1"/>
  <c r="AZ94" i="4"/>
  <c r="AO123" i="4"/>
  <c r="AO64" i="4" s="1"/>
  <c r="BD94" i="4"/>
  <c r="BG123" i="4"/>
  <c r="BG64" i="4" s="1"/>
  <c r="AY123" i="4"/>
  <c r="AY64" i="4" s="1"/>
  <c r="AS94" i="4"/>
  <c r="AP123" i="4"/>
  <c r="AP64" i="4" s="1"/>
  <c r="BA123" i="4"/>
  <c r="BA64" i="4" s="1"/>
  <c r="AR123" i="4"/>
  <c r="AR64" i="4" s="1"/>
  <c r="AW123" i="4"/>
  <c r="AW64" i="4" s="1"/>
  <c r="BF94" i="4"/>
  <c r="AW94" i="4"/>
  <c r="BH123" i="4"/>
  <c r="BH64" i="4" s="1"/>
  <c r="BC123" i="4"/>
  <c r="BC64" i="4" s="1"/>
  <c r="BI64" i="4" l="1"/>
  <c r="AM64" i="4"/>
  <c r="BJ64" i="4"/>
  <c r="BI94" i="4"/>
  <c r="L107" i="6" l="1"/>
  <c r="AN64" i="4"/>
  <c r="Z107" i="6" s="1"/>
  <c r="AC107" i="6" l="1"/>
  <c r="AH107" i="6" l="1"/>
  <c r="AK107" i="6" s="1"/>
  <c r="AG107" i="6"/>
  <c r="AE107" i="6"/>
  <c r="F107" i="6" s="1"/>
  <c r="AI28" i="8" l="1"/>
  <c r="AJ107" i="6"/>
  <c r="AL107" i="6" s="1"/>
  <c r="X107" i="6" s="1"/>
  <c r="M108" i="6"/>
  <c r="I108" i="6" s="1"/>
  <c r="H108" i="6" s="1"/>
  <c r="G108" i="6" l="1"/>
  <c r="C56" i="6" s="1"/>
  <c r="C58" i="6" s="1"/>
  <c r="C64" i="38"/>
  <c r="P108" i="6" l="1"/>
  <c r="Q108" i="6" s="1"/>
  <c r="C21" i="6" s="1"/>
  <c r="J108" i="6"/>
  <c r="C57" i="6" s="1"/>
  <c r="F57" i="6" s="1"/>
  <c r="T108" i="6"/>
  <c r="W108" i="6" s="1"/>
  <c r="AE65" i="4"/>
  <c r="AS124" i="4" s="1"/>
  <c r="AS65" i="4" s="1"/>
  <c r="U108" i="6"/>
  <c r="F58" i="6"/>
  <c r="F56" i="6"/>
  <c r="C22" i="6" l="1"/>
  <c r="C41" i="6"/>
  <c r="R108" i="6"/>
  <c r="C62" i="6"/>
  <c r="X137" i="6"/>
  <c r="AX124" i="4"/>
  <c r="AX65" i="4" s="1"/>
  <c r="AV124" i="4"/>
  <c r="AV65" i="4" s="1"/>
  <c r="BB95" i="4"/>
  <c r="BD95" i="4"/>
  <c r="AP124" i="4"/>
  <c r="AP65" i="4" s="1"/>
  <c r="AT95" i="4"/>
  <c r="AT124" i="4"/>
  <c r="AT65" i="4" s="1"/>
  <c r="AY124" i="4"/>
  <c r="AY65" i="4" s="1"/>
  <c r="AQ95" i="4"/>
  <c r="C59" i="6"/>
  <c r="F59" i="6" s="1"/>
  <c r="F28" i="6" s="1"/>
  <c r="C29" i="6" s="1"/>
  <c r="BG124" i="4"/>
  <c r="BG65" i="4" s="1"/>
  <c r="AQ124" i="4"/>
  <c r="AQ65" i="4" s="1"/>
  <c r="K108" i="6"/>
  <c r="AW124" i="4"/>
  <c r="AW65" i="4" s="1"/>
  <c r="BF124" i="4"/>
  <c r="BF65" i="4" s="1"/>
  <c r="BD124" i="4"/>
  <c r="BD65" i="4" s="1"/>
  <c r="BF95" i="4"/>
  <c r="AO124" i="4"/>
  <c r="AO65" i="4" s="1"/>
  <c r="AV95" i="4"/>
  <c r="BA124" i="4"/>
  <c r="BA65" i="4" s="1"/>
  <c r="BE124" i="4"/>
  <c r="BE65" i="4" s="1"/>
  <c r="AY95" i="4"/>
  <c r="BA95" i="4"/>
  <c r="BH124" i="4"/>
  <c r="BH65" i="4" s="1"/>
  <c r="AO95" i="4"/>
  <c r="Y108" i="6"/>
  <c r="BE95" i="4"/>
  <c r="AZ95" i="4"/>
  <c r="BH95" i="4"/>
  <c r="AP95" i="4"/>
  <c r="AE95" i="4"/>
  <c r="BB124" i="4"/>
  <c r="BB65" i="4" s="1"/>
  <c r="AU124" i="4"/>
  <c r="AU65" i="4" s="1"/>
  <c r="AR95" i="4"/>
  <c r="AZ124" i="4"/>
  <c r="AZ65" i="4" s="1"/>
  <c r="V108" i="6"/>
  <c r="AR124" i="4"/>
  <c r="AR65" i="4" s="1"/>
  <c r="AX95" i="4"/>
  <c r="BG95" i="4"/>
  <c r="AU95" i="4"/>
  <c r="BC95" i="4"/>
  <c r="AS95" i="4"/>
  <c r="BC124" i="4"/>
  <c r="BC65" i="4" s="1"/>
  <c r="AW95" i="4"/>
  <c r="C28" i="6" l="1"/>
  <c r="S36" i="45"/>
  <c r="S37" i="45" s="1"/>
  <c r="S38" i="45" s="1"/>
  <c r="S14" i="45"/>
  <c r="D76" i="14"/>
  <c r="W89" i="23" s="1"/>
  <c r="D77" i="14"/>
  <c r="BI65" i="4"/>
  <c r="BI66" i="4" s="1"/>
  <c r="C13" i="6" s="1"/>
  <c r="BI95" i="4"/>
  <c r="AM65" i="4"/>
  <c r="L108" i="6" s="1"/>
  <c r="BJ65" i="4"/>
  <c r="BJ66" i="4" s="1"/>
  <c r="S40" i="45" l="1"/>
  <c r="D79" i="14"/>
  <c r="D78" i="14"/>
  <c r="D80" i="14"/>
  <c r="D81" i="14" s="1"/>
  <c r="W88" i="23" s="1"/>
  <c r="S30" i="45"/>
  <c r="S31" i="45" s="1"/>
  <c r="S32" i="45" s="1"/>
  <c r="S57" i="45"/>
  <c r="AN65" i="4"/>
  <c r="Z108" i="6" s="1"/>
  <c r="D14" i="14" l="1"/>
  <c r="F15" i="14" s="1"/>
  <c r="AC108" i="6"/>
  <c r="C60" i="6" s="1"/>
  <c r="D15" i="14" l="1"/>
  <c r="L6" i="30" s="1"/>
  <c r="S16" i="45"/>
  <c r="AG108" i="6"/>
  <c r="AI29" i="8" s="1"/>
  <c r="AH108" i="6"/>
  <c r="AK108" i="6" s="1"/>
  <c r="AE108" i="6"/>
  <c r="F108" i="6" s="1"/>
  <c r="F60" i="6"/>
  <c r="S18" i="45" l="1"/>
  <c r="H6" i="14"/>
  <c r="D17" i="30"/>
  <c r="D76" i="30" s="1"/>
  <c r="C5" i="6"/>
  <c r="K6" i="36"/>
  <c r="D17" i="14"/>
  <c r="AM103" i="6" s="1"/>
  <c r="K6" i="29"/>
  <c r="M7" i="23"/>
  <c r="J6" i="11"/>
  <c r="J6" i="12"/>
  <c r="W90" i="23"/>
  <c r="J6" i="35"/>
  <c r="AJ108" i="6"/>
  <c r="AL108" i="6" s="1"/>
  <c r="AM94" i="6" l="1"/>
  <c r="C78" i="38" s="1"/>
  <c r="AM85" i="6"/>
  <c r="AD85" i="6" s="1"/>
  <c r="AM98" i="6"/>
  <c r="AD98" i="6" s="1"/>
  <c r="AM89" i="6"/>
  <c r="AF89" i="6" s="1"/>
  <c r="AM84" i="6"/>
  <c r="C68" i="38" s="1"/>
  <c r="AM92" i="6"/>
  <c r="BJ80" i="4" s="1"/>
  <c r="AM90" i="6"/>
  <c r="AF90" i="6" s="1"/>
  <c r="AM93" i="6"/>
  <c r="AF93" i="6" s="1"/>
  <c r="AM104" i="6"/>
  <c r="AF104" i="6" s="1"/>
  <c r="AM100" i="6"/>
  <c r="C84" i="38" s="1"/>
  <c r="AM88" i="6"/>
  <c r="AF88" i="6" s="1"/>
  <c r="AM107" i="6"/>
  <c r="AF107" i="6" s="1"/>
  <c r="AM99" i="6"/>
  <c r="AF99" i="6" s="1"/>
  <c r="AM97" i="6"/>
  <c r="BJ85" i="4" s="1"/>
  <c r="AM106" i="6"/>
  <c r="AF106" i="6" s="1"/>
  <c r="AM105" i="6"/>
  <c r="C89" i="38" s="1"/>
  <c r="AM96" i="6"/>
  <c r="BJ84" i="4" s="1"/>
  <c r="AM101" i="6"/>
  <c r="BJ89" i="4" s="1"/>
  <c r="AM87" i="6"/>
  <c r="C71" i="38" s="1"/>
  <c r="AM91" i="6"/>
  <c r="AF91" i="6" s="1"/>
  <c r="AM86" i="6"/>
  <c r="AF86" i="6" s="1"/>
  <c r="AM108" i="6"/>
  <c r="AF108" i="6" s="1"/>
  <c r="AM83" i="6"/>
  <c r="AF83" i="6" s="1"/>
  <c r="AM95" i="6"/>
  <c r="AF95" i="6" s="1"/>
  <c r="AM102" i="6"/>
  <c r="AF102" i="6" s="1"/>
  <c r="D16" i="14"/>
  <c r="C65" i="38"/>
  <c r="AF103" i="6"/>
  <c r="AF100" i="6"/>
  <c r="AL109" i="6"/>
  <c r="C8" i="6" s="1"/>
  <c r="M4" i="29" s="1"/>
  <c r="X108" i="6"/>
  <c r="W109" i="6" s="1"/>
  <c r="C87" i="38"/>
  <c r="BJ91" i="4"/>
  <c r="AD103" i="6"/>
  <c r="BJ73" i="4"/>
  <c r="BJ88" i="4" l="1"/>
  <c r="C91" i="38"/>
  <c r="C85" i="38"/>
  <c r="AF85" i="6"/>
  <c r="C69" i="38"/>
  <c r="AF101" i="6"/>
  <c r="AD101" i="6"/>
  <c r="AD100" i="6"/>
  <c r="BJ87" i="4"/>
  <c r="AD99" i="6"/>
  <c r="AF98" i="6"/>
  <c r="C82" i="38"/>
  <c r="AD87" i="6"/>
  <c r="AD92" i="6"/>
  <c r="AF94" i="6"/>
  <c r="AD94" i="6"/>
  <c r="BJ82" i="4"/>
  <c r="AD84" i="6"/>
  <c r="BJ72" i="4"/>
  <c r="AF92" i="6"/>
  <c r="AF97" i="6"/>
  <c r="C83" i="38"/>
  <c r="AD90" i="6"/>
  <c r="AD86" i="6"/>
  <c r="AD97" i="6"/>
  <c r="AF87" i="6"/>
  <c r="C81" i="38"/>
  <c r="C74" i="38"/>
  <c r="C76" i="38"/>
  <c r="BJ78" i="4"/>
  <c r="C67" i="38"/>
  <c r="BJ71" i="4"/>
  <c r="AP83" i="6"/>
  <c r="AP84" i="6" s="1"/>
  <c r="AP85" i="6" s="1"/>
  <c r="AP86" i="6" s="1"/>
  <c r="AP87" i="6" s="1"/>
  <c r="BJ77" i="4"/>
  <c r="AD88" i="6"/>
  <c r="C73" i="38"/>
  <c r="AD107" i="6"/>
  <c r="C72" i="38"/>
  <c r="C75" i="38"/>
  <c r="BJ95" i="4"/>
  <c r="BJ76" i="4"/>
  <c r="BJ86" i="4"/>
  <c r="BJ75" i="4"/>
  <c r="AD89" i="6"/>
  <c r="AF84" i="6"/>
  <c r="AD93" i="6"/>
  <c r="C77" i="38"/>
  <c r="BJ81" i="4"/>
  <c r="AD105" i="6"/>
  <c r="BJ93" i="4"/>
  <c r="AF105" i="6"/>
  <c r="BJ83" i="4"/>
  <c r="C79" i="38"/>
  <c r="AD106" i="6"/>
  <c r="AD83" i="6"/>
  <c r="BJ94" i="4"/>
  <c r="C90" i="38"/>
  <c r="AD95" i="6"/>
  <c r="AF96" i="6"/>
  <c r="C17" i="6"/>
  <c r="AD104" i="6"/>
  <c r="AD102" i="6"/>
  <c r="BJ92" i="4"/>
  <c r="C86" i="38"/>
  <c r="C88" i="38"/>
  <c r="BJ90" i="4"/>
  <c r="AD96" i="6"/>
  <c r="AD91" i="6"/>
  <c r="BJ79" i="4"/>
  <c r="C80" i="38"/>
  <c r="BJ74" i="4"/>
  <c r="C92" i="38"/>
  <c r="C6" i="6"/>
  <c r="W68" i="23" s="1"/>
  <c r="D18" i="29" s="1"/>
  <c r="C16" i="6"/>
  <c r="AD108" i="6"/>
  <c r="C70" i="38"/>
  <c r="F62" i="6"/>
  <c r="C61" i="6"/>
  <c r="F61" i="6" s="1"/>
  <c r="N4" i="30"/>
  <c r="C14" i="6"/>
  <c r="M4" i="36"/>
  <c r="L4" i="11"/>
  <c r="O5" i="23"/>
  <c r="J4" i="14"/>
  <c r="L4" i="35"/>
  <c r="L4" i="12"/>
  <c r="W87" i="23"/>
  <c r="AM66" i="4" l="1"/>
  <c r="BI96" i="4"/>
  <c r="S10" i="45"/>
  <c r="D37" i="14"/>
  <c r="D38" i="14" s="1"/>
  <c r="J11" i="30" s="1"/>
  <c r="C7" i="6"/>
  <c r="W69" i="23" s="1"/>
  <c r="D17" i="29" s="1"/>
  <c r="AP88" i="6"/>
  <c r="J28" i="30" l="1"/>
  <c r="J87" i="30" s="1"/>
  <c r="J23" i="30"/>
  <c r="J82" i="30" s="1"/>
  <c r="J27" i="30"/>
  <c r="J86" i="30" s="1"/>
  <c r="J14" i="30"/>
  <c r="J73" i="30" s="1"/>
  <c r="D19" i="30"/>
  <c r="O5" i="29" s="1"/>
  <c r="F38" i="14"/>
  <c r="J13" i="30"/>
  <c r="J72" i="30" s="1"/>
  <c r="J17" i="30"/>
  <c r="J37" i="30" s="1"/>
  <c r="C37" i="38" s="1"/>
  <c r="D39" i="14"/>
  <c r="N174" i="11" s="1"/>
  <c r="U174" i="11" s="1"/>
  <c r="Y174" i="11" s="1"/>
  <c r="J33" i="30"/>
  <c r="C33" i="38" s="1"/>
  <c r="AM20" i="4"/>
  <c r="D30" i="6" s="1"/>
  <c r="J21" i="30"/>
  <c r="J80" i="30" s="1"/>
  <c r="J9" i="30"/>
  <c r="J68" i="30" s="1"/>
  <c r="J24" i="30"/>
  <c r="J83" i="30" s="1"/>
  <c r="J19" i="30"/>
  <c r="J16" i="30"/>
  <c r="J75" i="30" s="1"/>
  <c r="J12" i="30"/>
  <c r="J71" i="30" s="1"/>
  <c r="J34" i="30"/>
  <c r="C34" i="38" s="1"/>
  <c r="D18" i="30"/>
  <c r="V49" i="30" s="1"/>
  <c r="J10" i="30"/>
  <c r="J69" i="30" s="1"/>
  <c r="J22" i="30"/>
  <c r="J81" i="30" s="1"/>
  <c r="J18" i="30"/>
  <c r="J77" i="30" s="1"/>
  <c r="J15" i="30"/>
  <c r="J74" i="30" s="1"/>
  <c r="J25" i="30"/>
  <c r="J84" i="30" s="1"/>
  <c r="Z92" i="30" s="1"/>
  <c r="AP89" i="6"/>
  <c r="J70" i="30"/>
  <c r="N178" i="11" l="1"/>
  <c r="U178" i="11" s="1"/>
  <c r="Y178" i="11" s="1"/>
  <c r="C5" i="38"/>
  <c r="L5" i="14"/>
  <c r="S11" i="45"/>
  <c r="S44" i="45" s="1"/>
  <c r="O5" i="36"/>
  <c r="P5" i="30"/>
  <c r="N5" i="12"/>
  <c r="Q6" i="23"/>
  <c r="N5" i="11"/>
  <c r="N5" i="35"/>
  <c r="N177" i="11"/>
  <c r="U177" i="11" s="1"/>
  <c r="Y177" i="11" s="1"/>
  <c r="AA177" i="11" s="1"/>
  <c r="D78" i="30"/>
  <c r="J76" i="30"/>
  <c r="W78" i="23" s="1"/>
  <c r="J93" i="30"/>
  <c r="N176" i="11"/>
  <c r="U176" i="11" s="1"/>
  <c r="Y176" i="11" s="1"/>
  <c r="Z176" i="11" s="1"/>
  <c r="N173" i="11"/>
  <c r="U173" i="11" s="1"/>
  <c r="Y173" i="11" s="1"/>
  <c r="N175" i="11"/>
  <c r="U175" i="11" s="1"/>
  <c r="Y175" i="11" s="1"/>
  <c r="Z175" i="11" s="1"/>
  <c r="J36" i="30"/>
  <c r="C36" i="38" s="1"/>
  <c r="J94" i="30"/>
  <c r="O6" i="36"/>
  <c r="AF49" i="30"/>
  <c r="K49" i="30"/>
  <c r="AD49" i="30"/>
  <c r="M61" i="30"/>
  <c r="N61" i="30" s="1"/>
  <c r="W49" i="30"/>
  <c r="Z49" i="30"/>
  <c r="AB49" i="30"/>
  <c r="N6" i="12"/>
  <c r="L6" i="14"/>
  <c r="X49" i="30"/>
  <c r="C4" i="38"/>
  <c r="Q49" i="30"/>
  <c r="N6" i="35"/>
  <c r="D20" i="30"/>
  <c r="C6" i="38" s="1"/>
  <c r="J61" i="30"/>
  <c r="K61" i="30" s="1"/>
  <c r="Q7" i="23"/>
  <c r="T49" i="30"/>
  <c r="N49" i="30"/>
  <c r="R49" i="30"/>
  <c r="J60" i="30"/>
  <c r="K60" i="30" s="1"/>
  <c r="AM21" i="4"/>
  <c r="AN66" i="4" s="1"/>
  <c r="Z109" i="6" s="1"/>
  <c r="U49" i="30"/>
  <c r="M60" i="30"/>
  <c r="N60" i="30" s="1"/>
  <c r="M49" i="30"/>
  <c r="O6" i="29"/>
  <c r="J49" i="30"/>
  <c r="AE49" i="30"/>
  <c r="AG49" i="30"/>
  <c r="AA49" i="30"/>
  <c r="Y49" i="30"/>
  <c r="L49" i="30"/>
  <c r="S49" i="30"/>
  <c r="O49" i="30"/>
  <c r="N6" i="11"/>
  <c r="P6" i="30"/>
  <c r="P49" i="30"/>
  <c r="D77" i="30"/>
  <c r="AC49" i="30"/>
  <c r="AH49" i="30"/>
  <c r="M59" i="30"/>
  <c r="N59" i="30" s="1"/>
  <c r="J59" i="30"/>
  <c r="K59" i="30" s="1"/>
  <c r="AP90" i="6"/>
  <c r="AA178" i="11"/>
  <c r="Z178" i="11"/>
  <c r="Z174" i="11"/>
  <c r="AA174" i="11"/>
  <c r="W75" i="23"/>
  <c r="Z90" i="30"/>
  <c r="S27" i="45" l="1"/>
  <c r="S39" i="45"/>
  <c r="D79" i="30"/>
  <c r="Z177" i="11"/>
  <c r="Z91" i="30"/>
  <c r="AA176" i="11"/>
  <c r="U179" i="11"/>
  <c r="Z94" i="30"/>
  <c r="AA175" i="11"/>
  <c r="W76" i="23"/>
  <c r="W77" i="23" s="1"/>
  <c r="H49" i="30"/>
  <c r="Z173" i="11"/>
  <c r="AA173" i="11"/>
  <c r="Y179" i="11"/>
  <c r="AP91" i="6"/>
  <c r="X179" i="11" l="1"/>
  <c r="AA179" i="11"/>
  <c r="Z179" i="11"/>
  <c r="Y192" i="11"/>
  <c r="AP92" i="6"/>
  <c r="AP93" i="6" s="1"/>
  <c r="X192" i="11" l="1"/>
  <c r="W60" i="23" s="1"/>
  <c r="Z192" i="11"/>
  <c r="AB192" i="11"/>
  <c r="Y195" i="11"/>
  <c r="I26" i="30"/>
  <c r="Y196" i="11" l="1"/>
  <c r="AA195" i="11" s="1"/>
  <c r="AB195" i="11"/>
  <c r="Z195" i="11"/>
  <c r="X195" i="11"/>
  <c r="I29" i="30"/>
  <c r="L26" i="30"/>
  <c r="L85" i="30" s="1"/>
  <c r="C26" i="38"/>
  <c r="I85" i="30"/>
  <c r="H26" i="30"/>
  <c r="J26" i="30"/>
  <c r="AP94" i="6"/>
  <c r="AP95" i="6" l="1"/>
  <c r="L29" i="30"/>
  <c r="L88" i="30" s="1"/>
  <c r="I88" i="30"/>
  <c r="J29" i="30"/>
  <c r="C29" i="38"/>
  <c r="I30" i="30"/>
  <c r="N29" i="30" s="1"/>
  <c r="N88" i="30" s="1"/>
  <c r="H29" i="30"/>
  <c r="J85" i="30"/>
  <c r="K26" i="30"/>
  <c r="K85" i="30" s="1"/>
  <c r="O26" i="30"/>
  <c r="O85" i="30" s="1"/>
  <c r="H85" i="30"/>
  <c r="AA191" i="11"/>
  <c r="W59" i="23" s="1"/>
  <c r="X196" i="11"/>
  <c r="W57" i="23" s="1"/>
  <c r="AB183" i="11"/>
  <c r="AA196" i="11"/>
  <c r="AB172" i="11"/>
  <c r="AB159" i="11"/>
  <c r="AB162" i="11"/>
  <c r="AA188" i="11"/>
  <c r="AB149" i="11"/>
  <c r="AA189" i="11"/>
  <c r="AA187" i="11"/>
  <c r="AB166" i="11"/>
  <c r="AB146" i="11"/>
  <c r="AB152" i="11"/>
  <c r="AB153" i="11"/>
  <c r="AB171" i="11"/>
  <c r="AB147" i="11"/>
  <c r="AB148" i="11"/>
  <c r="AB156" i="11"/>
  <c r="AB196" i="11"/>
  <c r="AB158" i="11"/>
  <c r="AB157" i="11"/>
  <c r="AB155" i="11"/>
  <c r="AA194" i="11"/>
  <c r="AB182" i="11"/>
  <c r="AA190" i="11"/>
  <c r="AB145" i="11"/>
  <c r="AB161" i="11"/>
  <c r="AA193" i="11"/>
  <c r="AB163" i="11"/>
  <c r="Z196" i="11"/>
  <c r="AB151" i="11"/>
  <c r="AB181" i="11"/>
  <c r="W66" i="23"/>
  <c r="AB178" i="11"/>
  <c r="AB175" i="11"/>
  <c r="AB174" i="11"/>
  <c r="AB177" i="11"/>
  <c r="AB176" i="11"/>
  <c r="AB173" i="11"/>
  <c r="AB179" i="11"/>
  <c r="AA192" i="11"/>
  <c r="W61" i="23" s="1"/>
  <c r="J88" i="30" l="1"/>
  <c r="Z93" i="30" s="1"/>
  <c r="Z95" i="30" s="1"/>
  <c r="AP96" i="6"/>
  <c r="H88" i="30"/>
  <c r="O29" i="30"/>
  <c r="O88" i="30" s="1"/>
  <c r="K29" i="30"/>
  <c r="K88" i="30" s="1"/>
  <c r="H30" i="30"/>
  <c r="I38" i="30"/>
  <c r="N24" i="30"/>
  <c r="N83" i="30" s="1"/>
  <c r="J30" i="30"/>
  <c r="N23" i="30"/>
  <c r="N82" i="30" s="1"/>
  <c r="N21" i="30"/>
  <c r="N80" i="30" s="1"/>
  <c r="AE45" i="30"/>
  <c r="Y45" i="30"/>
  <c r="N30" i="30"/>
  <c r="N89" i="30" s="1"/>
  <c r="AC45" i="30"/>
  <c r="S45" i="30"/>
  <c r="V45" i="30"/>
  <c r="N25" i="30"/>
  <c r="N84" i="30" s="1"/>
  <c r="L30" i="30"/>
  <c r="N28" i="30"/>
  <c r="N87" i="30" s="1"/>
  <c r="N22" i="30"/>
  <c r="N81" i="30" s="1"/>
  <c r="J45" i="30"/>
  <c r="N27" i="30"/>
  <c r="N86" i="30" s="1"/>
  <c r="K45" i="30"/>
  <c r="T45" i="30"/>
  <c r="AA45" i="30"/>
  <c r="I89" i="30"/>
  <c r="M45" i="30"/>
  <c r="P45" i="30"/>
  <c r="Q45" i="30"/>
  <c r="L45" i="30"/>
  <c r="X45" i="30"/>
  <c r="I32" i="30"/>
  <c r="R45" i="30"/>
  <c r="AH45" i="30"/>
  <c r="O45" i="30"/>
  <c r="C30" i="38"/>
  <c r="U45" i="30"/>
  <c r="AG45" i="30"/>
  <c r="AF45" i="30"/>
  <c r="W45" i="30"/>
  <c r="Z45" i="30"/>
  <c r="AD45" i="30"/>
  <c r="N45" i="30"/>
  <c r="AB45" i="30"/>
  <c r="N26" i="30"/>
  <c r="N85" i="30" s="1"/>
  <c r="H45" i="30" l="1"/>
  <c r="L38" i="30"/>
  <c r="L89" i="30"/>
  <c r="W85" i="23" s="1"/>
  <c r="AP97" i="6"/>
  <c r="J89" i="30"/>
  <c r="J38" i="30"/>
  <c r="C38" i="38" s="1"/>
  <c r="L32" i="30"/>
  <c r="L92" i="30" s="1"/>
  <c r="J32" i="30"/>
  <c r="I92" i="30"/>
  <c r="I35" i="30"/>
  <c r="I39" i="30" s="1"/>
  <c r="H89" i="30"/>
  <c r="O30" i="30"/>
  <c r="O89" i="30" s="1"/>
  <c r="K30" i="30"/>
  <c r="H38" i="30"/>
  <c r="H32" i="30"/>
  <c r="N38" i="30" l="1"/>
  <c r="K89" i="30"/>
  <c r="K38" i="30"/>
  <c r="L35" i="30"/>
  <c r="L95" i="30" s="1"/>
  <c r="I95" i="30"/>
  <c r="J35" i="30"/>
  <c r="AP98" i="6"/>
  <c r="H92" i="30"/>
  <c r="N32" i="30"/>
  <c r="K32" i="30"/>
  <c r="K92" i="30" s="1"/>
  <c r="H35" i="30"/>
  <c r="C32" i="38"/>
  <c r="J92" i="30"/>
  <c r="W64" i="23" s="1"/>
  <c r="K35" i="30" l="1"/>
  <c r="K95" i="30" s="1"/>
  <c r="H95" i="30"/>
  <c r="N35" i="30"/>
  <c r="N39" i="30" s="1"/>
  <c r="S62" i="45"/>
  <c r="S63" i="45" s="1"/>
  <c r="M35" i="30"/>
  <c r="M95" i="30" s="1"/>
  <c r="N4" i="35"/>
  <c r="D21" i="30"/>
  <c r="O4" i="36"/>
  <c r="C35" i="38"/>
  <c r="P4" i="30"/>
  <c r="Q5" i="23"/>
  <c r="O4" i="29"/>
  <c r="N4" i="12"/>
  <c r="L4" i="14"/>
  <c r="J95" i="30"/>
  <c r="W65" i="23" s="1"/>
  <c r="N4" i="11"/>
  <c r="M28" i="30"/>
  <c r="M87" i="30" s="1"/>
  <c r="M12" i="30"/>
  <c r="M71" i="30" s="1"/>
  <c r="M11" i="30"/>
  <c r="M70" i="30" s="1"/>
  <c r="M9" i="30"/>
  <c r="M68" i="30" s="1"/>
  <c r="M27" i="30"/>
  <c r="M86" i="30" s="1"/>
  <c r="M17" i="30"/>
  <c r="M23" i="30"/>
  <c r="M82" i="30" s="1"/>
  <c r="M24" i="30"/>
  <c r="M83" i="30" s="1"/>
  <c r="M16" i="30"/>
  <c r="M75" i="30" s="1"/>
  <c r="M15" i="30"/>
  <c r="M74" i="30" s="1"/>
  <c r="M22" i="30"/>
  <c r="M81" i="30" s="1"/>
  <c r="M14" i="30"/>
  <c r="M73" i="30" s="1"/>
  <c r="M34" i="30"/>
  <c r="M25" i="30"/>
  <c r="M84" i="30" s="1"/>
  <c r="M19" i="30"/>
  <c r="M10" i="30"/>
  <c r="M69" i="30" s="1"/>
  <c r="M33" i="30"/>
  <c r="M21" i="30"/>
  <c r="M80" i="30" s="1"/>
  <c r="M18" i="30"/>
  <c r="M77" i="30" s="1"/>
  <c r="M13" i="30"/>
  <c r="M72" i="30" s="1"/>
  <c r="J39" i="30"/>
  <c r="M26" i="30"/>
  <c r="M85" i="30" s="1"/>
  <c r="M29" i="30"/>
  <c r="M88" i="30" s="1"/>
  <c r="M30" i="30"/>
  <c r="M89" i="30" s="1"/>
  <c r="M32" i="30"/>
  <c r="M92" i="30" s="1"/>
  <c r="L39" i="30"/>
  <c r="AP99" i="6"/>
  <c r="H39" i="30"/>
  <c r="K39" i="30" l="1"/>
  <c r="Y43" i="30"/>
  <c r="Y46" i="30" s="1"/>
  <c r="W43" i="30"/>
  <c r="W46" i="30" s="1"/>
  <c r="Z43" i="30"/>
  <c r="Z46" i="30" s="1"/>
  <c r="AH43" i="30"/>
  <c r="AH46" i="30" s="1"/>
  <c r="AC43" i="30"/>
  <c r="AC46" i="30" s="1"/>
  <c r="AD43" i="30"/>
  <c r="AD46" i="30" s="1"/>
  <c r="AF43" i="30"/>
  <c r="AF46" i="30" s="1"/>
  <c r="Q43" i="30"/>
  <c r="Q46" i="30" s="1"/>
  <c r="R43" i="30"/>
  <c r="R46" i="30" s="1"/>
  <c r="O43" i="30"/>
  <c r="O46" i="30" s="1"/>
  <c r="P43" i="30"/>
  <c r="P46" i="30" s="1"/>
  <c r="AG43" i="30"/>
  <c r="AG46" i="30" s="1"/>
  <c r="AA43" i="30"/>
  <c r="AA46" i="30" s="1"/>
  <c r="X43" i="30"/>
  <c r="X46" i="30" s="1"/>
  <c r="S43" i="30"/>
  <c r="S46" i="30" s="1"/>
  <c r="V43" i="30"/>
  <c r="V46" i="30" s="1"/>
  <c r="AB43" i="30"/>
  <c r="AB46" i="30" s="1"/>
  <c r="AE43" i="30"/>
  <c r="AE46" i="30" s="1"/>
  <c r="L43" i="30"/>
  <c r="L46" i="30" s="1"/>
  <c r="K43" i="30"/>
  <c r="K46" i="30" s="1"/>
  <c r="N43" i="30"/>
  <c r="N46" i="30" s="1"/>
  <c r="J43" i="30"/>
  <c r="C7" i="38"/>
  <c r="M43" i="30"/>
  <c r="M46" i="30" s="1"/>
  <c r="U43" i="30"/>
  <c r="U46" i="30" s="1"/>
  <c r="T43" i="30"/>
  <c r="T46" i="30" s="1"/>
  <c r="D80" i="30"/>
  <c r="W44" i="23" a="1"/>
  <c r="W44" i="23" s="1"/>
  <c r="D16" i="29"/>
  <c r="W81" i="23"/>
  <c r="W83" i="23"/>
  <c r="W79" i="23"/>
  <c r="W80" i="23"/>
  <c r="M94" i="30"/>
  <c r="M38" i="30"/>
  <c r="AP100" i="6"/>
  <c r="M76" i="30"/>
  <c r="M37" i="30"/>
  <c r="W82" i="23"/>
  <c r="M36" i="30"/>
  <c r="M93" i="30"/>
  <c r="M39" i="30" l="1"/>
  <c r="AP101" i="6"/>
  <c r="D11" i="23"/>
  <c r="D60" i="23"/>
  <c r="D76" i="23"/>
  <c r="D44" i="23"/>
  <c r="H43" i="30"/>
  <c r="H50" i="30" s="1"/>
  <c r="I50" i="30" s="1"/>
  <c r="J46" i="30"/>
  <c r="D19" i="29"/>
  <c r="W86" i="23" s="1"/>
  <c r="S8" i="29"/>
  <c r="AP102" i="6" l="1"/>
  <c r="AP103" i="6" s="1"/>
  <c r="D28" i="23"/>
  <c r="AN16" i="23"/>
  <c r="G47" i="30"/>
  <c r="H46" i="30"/>
  <c r="AP104" i="6" l="1"/>
  <c r="AP105" i="6" l="1"/>
  <c r="AP106" i="6" l="1"/>
  <c r="AP107" i="6" l="1"/>
  <c r="AP108" i="6" l="1"/>
  <c r="AE109" i="6" s="1"/>
  <c r="AC109" i="6" l="1"/>
  <c r="AI87" i="6"/>
  <c r="AQ108" i="6"/>
  <c r="AR108" i="6"/>
  <c r="AI96" i="6"/>
  <c r="AI95" i="6"/>
  <c r="AI108" i="6"/>
  <c r="AI88" i="6"/>
  <c r="AI83" i="6"/>
  <c r="AI101" i="6"/>
  <c r="AI93" i="6"/>
  <c r="AI89" i="6"/>
  <c r="AI99" i="6"/>
  <c r="AI105" i="6"/>
  <c r="AI100" i="6"/>
  <c r="AI103" i="6"/>
  <c r="AI92" i="6"/>
  <c r="AI107" i="6"/>
  <c r="AI91" i="6"/>
  <c r="AI104" i="6"/>
  <c r="AI102" i="6"/>
  <c r="AI94" i="6"/>
  <c r="AI85" i="6"/>
  <c r="AI86" i="6"/>
  <c r="AI90" i="6"/>
  <c r="AI106" i="6"/>
  <c r="AI84" i="6"/>
  <c r="AI97" i="6"/>
  <c r="AI98" i="6"/>
  <c r="AR84" i="6"/>
  <c r="AQ84" i="6"/>
  <c r="AQ85" i="6"/>
  <c r="AQ86" i="6"/>
  <c r="AR85" i="6"/>
  <c r="AR86" i="6"/>
  <c r="AR87" i="6"/>
  <c r="AQ87" i="6"/>
  <c r="AQ88" i="6"/>
  <c r="AR88" i="6"/>
  <c r="AQ89" i="6"/>
  <c r="AR89" i="6"/>
  <c r="AQ90" i="6"/>
  <c r="AR90" i="6"/>
  <c r="AQ91" i="6"/>
  <c r="AR91" i="6"/>
  <c r="AR92" i="6"/>
  <c r="AQ92" i="6"/>
  <c r="AQ93" i="6"/>
  <c r="AR93" i="6"/>
  <c r="AR94" i="6"/>
  <c r="AQ94" i="6"/>
  <c r="AQ95" i="6"/>
  <c r="AR95" i="6"/>
  <c r="AQ96" i="6"/>
  <c r="AR96" i="6"/>
  <c r="AR97" i="6"/>
  <c r="AQ97" i="6"/>
  <c r="AQ98" i="6"/>
  <c r="AR98" i="6"/>
  <c r="AQ99" i="6"/>
  <c r="AR99" i="6"/>
  <c r="AR100" i="6"/>
  <c r="AQ100" i="6"/>
  <c r="AQ101" i="6"/>
  <c r="AR101" i="6"/>
  <c r="AQ102" i="6"/>
  <c r="AR102" i="6"/>
  <c r="AQ103" i="6"/>
  <c r="AR103" i="6"/>
  <c r="AR104" i="6"/>
  <c r="AQ104" i="6"/>
  <c r="AQ105" i="6"/>
  <c r="AR105" i="6"/>
  <c r="AQ106" i="6"/>
  <c r="AR106" i="6"/>
  <c r="AR107" i="6"/>
  <c r="AQ107" i="6"/>
  <c r="C32" i="6" l="1"/>
  <c r="C68" i="6" s="1"/>
  <c r="AH109" i="6"/>
  <c r="AQ109" i="6"/>
  <c r="AR109" i="6"/>
  <c r="C11" i="6" s="1"/>
  <c r="C72" i="6" l="1"/>
  <c r="C1" i="8"/>
  <c r="K7" i="8" s="1"/>
  <c r="C10" i="6"/>
  <c r="E18" i="8" l="1"/>
  <c r="AC10" i="8"/>
  <c r="C75" i="6"/>
  <c r="C76" i="6"/>
  <c r="C74" i="6"/>
  <c r="Q11" i="8"/>
  <c r="E16" i="8"/>
  <c r="E10" i="8"/>
  <c r="Q14" i="8"/>
  <c r="W7" i="8"/>
  <c r="W29" i="8"/>
  <c r="K24" i="8"/>
  <c r="E7" i="8"/>
  <c r="K17" i="8"/>
  <c r="K29" i="8"/>
  <c r="K23" i="8"/>
  <c r="AC11" i="8"/>
  <c r="K28" i="8"/>
  <c r="W9" i="8"/>
  <c r="AC16" i="8"/>
  <c r="W20" i="8"/>
  <c r="K27" i="8"/>
  <c r="W15" i="8"/>
  <c r="AC28" i="8"/>
  <c r="W26" i="8"/>
  <c r="E8" i="8"/>
  <c r="W6" i="8"/>
  <c r="Q9" i="8"/>
  <c r="Q13" i="8"/>
  <c r="Q25" i="8"/>
  <c r="W12" i="8"/>
  <c r="AC12" i="8"/>
  <c r="W23" i="8"/>
  <c r="Q20" i="8"/>
  <c r="E15" i="8"/>
  <c r="E29" i="8"/>
  <c r="Q19" i="8"/>
  <c r="AC7" i="8"/>
  <c r="Q27" i="8"/>
  <c r="E6" i="8"/>
  <c r="K8" i="8"/>
  <c r="Q5" i="8"/>
  <c r="E25" i="8"/>
  <c r="K22" i="8"/>
  <c r="Q7" i="8"/>
  <c r="Q6" i="8"/>
  <c r="W17" i="8"/>
  <c r="Q16" i="8"/>
  <c r="AC22" i="8"/>
  <c r="E21" i="8"/>
  <c r="K10" i="8"/>
  <c r="W25" i="8"/>
  <c r="AC26" i="8"/>
  <c r="E26" i="8"/>
  <c r="Q24" i="8"/>
  <c r="Q18" i="8"/>
  <c r="W10" i="8"/>
  <c r="E27" i="8"/>
  <c r="E23" i="8"/>
  <c r="Q17" i="8"/>
  <c r="Q12" i="8"/>
  <c r="W5" i="8"/>
  <c r="Q26" i="8"/>
  <c r="Q29" i="8"/>
  <c r="Q21" i="8"/>
  <c r="E20" i="8"/>
  <c r="AC20" i="8"/>
  <c r="AC27" i="8"/>
  <c r="Q28" i="8"/>
  <c r="AC17" i="8"/>
  <c r="AC21" i="8"/>
  <c r="K19" i="8"/>
  <c r="Q22" i="8"/>
  <c r="E13" i="8"/>
  <c r="E19" i="8"/>
  <c r="E12" i="8"/>
  <c r="K11" i="8"/>
  <c r="K5" i="8"/>
  <c r="K26" i="8"/>
  <c r="AC25" i="8"/>
  <c r="K20" i="8"/>
  <c r="K16" i="8"/>
  <c r="Q15" i="8"/>
  <c r="W24" i="8"/>
  <c r="E11" i="8"/>
  <c r="E17" i="8"/>
  <c r="AC23" i="8"/>
  <c r="E22" i="8"/>
  <c r="AC13" i="8"/>
  <c r="AC6" i="8"/>
  <c r="E5" i="8"/>
  <c r="K6" i="8"/>
  <c r="AC19" i="8"/>
  <c r="W28" i="8"/>
  <c r="W22" i="8"/>
  <c r="AC9" i="8"/>
  <c r="K18" i="8"/>
  <c r="K12" i="8"/>
  <c r="W13" i="8"/>
  <c r="E14" i="8"/>
  <c r="Q8" i="8"/>
  <c r="K25" i="8"/>
  <c r="AC18" i="8"/>
  <c r="K14" i="8"/>
  <c r="AC14" i="8"/>
  <c r="K13" i="8"/>
  <c r="K15" i="8"/>
  <c r="E9" i="8"/>
  <c r="W14" i="8"/>
  <c r="W21" i="8"/>
  <c r="E24" i="8"/>
  <c r="E28" i="8"/>
  <c r="W18" i="8"/>
  <c r="AC5" i="8"/>
  <c r="W16" i="8"/>
  <c r="AC29" i="8"/>
  <c r="W8" i="8"/>
  <c r="W11" i="8"/>
  <c r="K9" i="8"/>
  <c r="AC8" i="8"/>
  <c r="W27" i="8"/>
  <c r="Q23" i="8"/>
  <c r="AC15" i="8"/>
  <c r="K21" i="8"/>
  <c r="Q10" i="8"/>
  <c r="AC24" i="8"/>
  <c r="W19" i="8"/>
  <c r="D10" i="6"/>
  <c r="C65" i="6" l="1"/>
  <c r="C66" i="6" s="1"/>
  <c r="C70" i="6" l="1"/>
  <c r="C69" i="6" s="1"/>
  <c r="C9" i="6" s="1"/>
  <c r="C67"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Iker</author>
  </authors>
  <commentList>
    <comment ref="I29" authorId="0" shapeId="0" xr:uid="{00000000-0006-0000-0200-000001000000}">
      <text>
        <r>
          <rPr>
            <b/>
            <sz val="9"/>
            <color indexed="81"/>
            <rFont val="Tahoma"/>
            <family val="2"/>
          </rPr>
          <t>Iker:</t>
        </r>
        <r>
          <rPr>
            <sz val="9"/>
            <color indexed="81"/>
            <rFont val="Tahoma"/>
            <family val="2"/>
          </rPr>
          <t xml:space="preserve">
Changed to avergae windspeed at 300m for BVG study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Fabrizio</author>
    <author>Iker</author>
    <author>Rishikesh Joshi</author>
  </authors>
  <commentList>
    <comment ref="D9" authorId="0" shapeId="0" xr:uid="{614856CB-95D1-4A2F-974D-DA1EA547AF4F}">
      <text>
        <r>
          <rPr>
            <b/>
            <sz val="9"/>
            <color indexed="81"/>
            <rFont val="Tahoma"/>
            <family val="2"/>
          </rPr>
          <t>Fabrizio:</t>
        </r>
        <r>
          <rPr>
            <sz val="9"/>
            <color indexed="81"/>
            <rFont val="Tahoma"/>
            <family val="2"/>
          </rPr>
          <t xml:space="preserve">
for wind, this should be the wind speed at 100m for that location, for all systems.</t>
        </r>
      </text>
    </comment>
    <comment ref="P9" authorId="0" shapeId="0" xr:uid="{0DA41900-F1AA-4172-8408-8AC915AE451C}">
      <text>
        <r>
          <rPr>
            <b/>
            <sz val="9"/>
            <color indexed="81"/>
            <rFont val="Tahoma"/>
            <family val="2"/>
          </rPr>
          <t>Fabrizio:</t>
        </r>
        <r>
          <rPr>
            <sz val="9"/>
            <color indexed="81"/>
            <rFont val="Tahoma"/>
            <family val="2"/>
          </rPr>
          <t xml:space="preserve">
https://re.jrc.ec.europa.eu/pvg_tools/en/#PVP
Equivalent sun hours
</t>
        </r>
        <r>
          <rPr>
            <b/>
            <sz val="9"/>
            <color indexed="81"/>
            <rFont val="Tahoma"/>
            <family val="2"/>
          </rPr>
          <t xml:space="preserve">Rishi:
</t>
        </r>
        <r>
          <rPr>
            <sz val="9"/>
            <color indexed="81"/>
            <rFont val="Tahoma"/>
            <family val="2"/>
          </rPr>
          <t>https://globalsolaratlas.info/map?s=51,10&amp;m=site&amp;c=51,10,11
1000ESH</t>
        </r>
      </text>
    </comment>
    <comment ref="Q9" authorId="0" shapeId="0" xr:uid="{00000000-0006-0000-0500-000001000000}">
      <text>
        <r>
          <rPr>
            <b/>
            <sz val="9"/>
            <color indexed="81"/>
            <rFont val="Tahoma"/>
            <family val="2"/>
          </rPr>
          <t>Fabrizio:</t>
        </r>
        <r>
          <rPr>
            <sz val="9"/>
            <color indexed="81"/>
            <rFont val="Tahoma"/>
            <family val="2"/>
          </rPr>
          <t xml:space="preserve">
https://re.jrc.ec.europa.eu/pvg_tools/en/#PVP
Equivalent sun hours
</t>
        </r>
        <r>
          <rPr>
            <b/>
            <sz val="9"/>
            <color indexed="81"/>
            <rFont val="Tahoma"/>
            <family val="2"/>
          </rPr>
          <t xml:space="preserve">Rishi:
</t>
        </r>
        <r>
          <rPr>
            <sz val="9"/>
            <color indexed="81"/>
            <rFont val="Tahoma"/>
            <family val="2"/>
          </rPr>
          <t>https://globalsolaratlas.info/map?s=51,10&amp;m=site&amp;c=51,10,11
1000ESH</t>
        </r>
      </text>
    </comment>
    <comment ref="J11" authorId="1" shapeId="0" xr:uid="{A338FD97-DB57-410D-AF4C-3E9CF4FAD123}">
      <text>
        <r>
          <rPr>
            <b/>
            <sz val="9"/>
            <color indexed="81"/>
            <rFont val="Tahoma"/>
            <family val="2"/>
          </rPr>
          <t xml:space="preserve">Fabrizio
</t>
        </r>
        <r>
          <rPr>
            <sz val="9"/>
            <color indexed="81"/>
            <rFont val="Tahoma"/>
            <family val="2"/>
          </rPr>
          <t>must be improvement on AP5</t>
        </r>
      </text>
    </comment>
    <comment ref="K11" authorId="1" shapeId="0" xr:uid="{D30AEDE6-61CA-4741-804D-F3BA88B912D3}">
      <text>
        <r>
          <rPr>
            <b/>
            <sz val="9"/>
            <color indexed="81"/>
            <rFont val="Tahoma"/>
            <family val="2"/>
          </rPr>
          <t xml:space="preserve">Fabrizio
</t>
        </r>
        <r>
          <rPr>
            <sz val="9"/>
            <color indexed="81"/>
            <rFont val="Tahoma"/>
            <family val="2"/>
          </rPr>
          <t>must be improvement on AP6.</t>
        </r>
      </text>
    </comment>
    <comment ref="L11" authorId="1" shapeId="0" xr:uid="{931024E8-C010-4F09-AB04-F348F208CDEC}">
      <text>
        <r>
          <rPr>
            <b/>
            <sz val="9"/>
            <color indexed="81"/>
            <rFont val="Tahoma"/>
            <family val="2"/>
          </rPr>
          <t>Iker:</t>
        </r>
        <r>
          <rPr>
            <sz val="9"/>
            <color indexed="81"/>
            <rFont val="Tahoma"/>
            <family val="2"/>
          </rPr>
          <t xml:space="preserve">
guesstimate from Michiel
</t>
        </r>
      </text>
    </comment>
    <comment ref="M11" authorId="1" shapeId="0" xr:uid="{9164D4C1-6D3D-4E75-AEE3-673107DCF0F9}">
      <text>
        <r>
          <rPr>
            <b/>
            <sz val="9"/>
            <color indexed="81"/>
            <rFont val="Tahoma"/>
            <family val="2"/>
          </rPr>
          <t>Iker:</t>
        </r>
        <r>
          <rPr>
            <sz val="9"/>
            <color indexed="81"/>
            <rFont val="Tahoma"/>
            <family val="2"/>
          </rPr>
          <t xml:space="preserve">
Michiel's guesstimate</t>
        </r>
      </text>
    </comment>
    <comment ref="N11" authorId="1" shapeId="0" xr:uid="{00000000-0006-0000-0500-000004000000}">
      <text>
        <r>
          <rPr>
            <sz val="9"/>
            <color indexed="81"/>
            <rFont val="Tahoma"/>
            <family val="2"/>
          </rPr>
          <t xml:space="preserve">According to Wind Atlas : https://globalwindatlas.info/
for this location Center (Lat, Long):
 51.120334°, -4.008293°
average wind speed 9 m/s at 100 m
According to: https://www.renewables.ninja/
for this location, average capacity factor 43.6
Vestas V90 2000 </t>
        </r>
      </text>
    </comment>
    <comment ref="O11" authorId="1" shapeId="0" xr:uid="{00000000-0006-0000-0500-000005000000}">
      <text>
        <r>
          <rPr>
            <b/>
            <sz val="9"/>
            <color indexed="81"/>
            <rFont val="Tahoma"/>
            <family val="2"/>
          </rPr>
          <t xml:space="preserve">Fabrizio
Location: </t>
        </r>
        <r>
          <rPr>
            <sz val="9"/>
            <color indexed="81"/>
            <rFont val="Tahoma"/>
            <family val="2"/>
          </rPr>
          <t>Center (Lat, Long):
54.366478°, -9.863526°
Vestas V164 7000
Average wind speed: 11 m/s (from globalwindatlas.info)
Capacity factor: 48.7% (from renewables.ninja)</t>
        </r>
      </text>
    </comment>
    <comment ref="AE11" authorId="1" shapeId="0" xr:uid="{00000000-0006-0000-0500-000003000000}">
      <text>
        <r>
          <rPr>
            <b/>
            <sz val="9"/>
            <color indexed="81"/>
            <rFont val="Tahoma"/>
            <family val="2"/>
          </rPr>
          <t>Iker:</t>
        </r>
        <r>
          <rPr>
            <sz val="9"/>
            <color indexed="81"/>
            <rFont val="Tahoma"/>
            <family val="2"/>
          </rPr>
          <t xml:space="preserve">
Industry average</t>
        </r>
      </text>
    </comment>
    <comment ref="O15" authorId="0" shapeId="0" xr:uid="{7E98C212-9F13-4BAE-B218-187FC714D507}">
      <text>
        <r>
          <rPr>
            <b/>
            <sz val="9"/>
            <color indexed="81"/>
            <rFont val="Tahoma"/>
            <family val="2"/>
          </rPr>
          <t>Fabrizio:</t>
        </r>
        <r>
          <rPr>
            <sz val="9"/>
            <color indexed="81"/>
            <rFont val="Tahoma"/>
            <family val="2"/>
          </rPr>
          <t xml:space="preserve">
monopiles : 80%
floaters : 75%</t>
        </r>
      </text>
    </comment>
    <comment ref="L23" authorId="1" shapeId="0" xr:uid="{00000000-0006-0000-0500-000006000000}">
      <text>
        <r>
          <rPr>
            <b/>
            <sz val="9"/>
            <color indexed="81"/>
            <rFont val="Tahoma"/>
            <family val="2"/>
          </rPr>
          <t>Iker:</t>
        </r>
        <r>
          <rPr>
            <sz val="9"/>
            <color indexed="81"/>
            <rFont val="Tahoma"/>
            <family val="2"/>
          </rPr>
          <t xml:space="preserve">
from Michiel email, scaled using Skysails 200kW ramair system</t>
        </r>
      </text>
    </comment>
    <comment ref="M23" authorId="1" shapeId="0" xr:uid="{00000000-0006-0000-0500-000007000000}">
      <text>
        <r>
          <rPr>
            <b/>
            <sz val="9"/>
            <color indexed="81"/>
            <rFont val="Tahoma"/>
            <family val="2"/>
          </rPr>
          <t>Iker:</t>
        </r>
        <r>
          <rPr>
            <sz val="9"/>
            <color indexed="81"/>
            <rFont val="Tahoma"/>
            <family val="2"/>
          </rPr>
          <t xml:space="preserve">
from Michiel email, scaled using Skysails 200kW ramair system</t>
        </r>
      </text>
    </comment>
    <comment ref="H31" authorId="0" shapeId="0" xr:uid="{FA6B8470-658E-4B45-B533-D97D58F47E9C}">
      <text>
        <r>
          <rPr>
            <b/>
            <sz val="9"/>
            <color indexed="81"/>
            <rFont val="Tahoma"/>
            <family val="2"/>
          </rPr>
          <t>Fabrizio:</t>
        </r>
        <r>
          <rPr>
            <sz val="9"/>
            <color indexed="81"/>
            <rFont val="Tahoma"/>
            <family val="2"/>
          </rPr>
          <t xml:space="preserve">
why is this formula different from column Z ?</t>
        </r>
      </text>
    </comment>
    <comment ref="F37" authorId="1" shapeId="0" xr:uid="{B2306353-6FD5-4A41-ABFD-BF72E96CDB68}">
      <text>
        <r>
          <rPr>
            <b/>
            <sz val="9"/>
            <color indexed="81"/>
            <rFont val="Tahoma"/>
            <family val="2"/>
          </rPr>
          <t>Iker:</t>
        </r>
        <r>
          <rPr>
            <sz val="9"/>
            <color indexed="81"/>
            <rFont val="Tahoma"/>
            <family val="2"/>
          </rPr>
          <t xml:space="preserve">
15%gain due to optimal circle packing</t>
        </r>
      </text>
    </comment>
    <comment ref="G37" authorId="1" shapeId="0" xr:uid="{BDAA8025-D017-496E-AFD6-8FF270E310FE}">
      <text>
        <r>
          <rPr>
            <b/>
            <sz val="9"/>
            <color indexed="81"/>
            <rFont val="Tahoma"/>
            <family val="2"/>
          </rPr>
          <t>Iker:</t>
        </r>
        <r>
          <rPr>
            <sz val="9"/>
            <color indexed="81"/>
            <rFont val="Tahoma"/>
            <family val="2"/>
          </rPr>
          <t xml:space="preserve">
15%gain due to optimal circle packing</t>
        </r>
      </text>
    </comment>
    <comment ref="H37" authorId="1" shapeId="0" xr:uid="{C09654FE-4684-42F0-B8C3-81DD2C92B5A5}">
      <text>
        <r>
          <rPr>
            <b/>
            <sz val="9"/>
            <color indexed="81"/>
            <rFont val="Tahoma"/>
            <family val="2"/>
          </rPr>
          <t>Iker:</t>
        </r>
        <r>
          <rPr>
            <sz val="9"/>
            <color indexed="81"/>
            <rFont val="Tahoma"/>
            <family val="2"/>
          </rPr>
          <t xml:space="preserve">
15%gain due to optimal circle packing</t>
        </r>
      </text>
    </comment>
    <comment ref="I37" authorId="1" shapeId="0" xr:uid="{2D2C7F00-05A6-4DD0-BAD2-7C4DF85E1820}">
      <text>
        <r>
          <rPr>
            <b/>
            <sz val="9"/>
            <color indexed="81"/>
            <rFont val="Tahoma"/>
            <family val="2"/>
          </rPr>
          <t>Iker:</t>
        </r>
        <r>
          <rPr>
            <sz val="9"/>
            <color indexed="81"/>
            <rFont val="Tahoma"/>
            <family val="2"/>
          </rPr>
          <t xml:space="preserve">
15%gain due to optimal circle packing</t>
        </r>
      </text>
    </comment>
    <comment ref="J37" authorId="1" shapeId="0" xr:uid="{E744F8BC-3904-4B90-A3DF-6FF8BFAAEA0A}">
      <text>
        <r>
          <rPr>
            <b/>
            <sz val="9"/>
            <color indexed="81"/>
            <rFont val="Tahoma"/>
            <family val="2"/>
          </rPr>
          <t>Iker:</t>
        </r>
        <r>
          <rPr>
            <sz val="9"/>
            <color indexed="81"/>
            <rFont val="Tahoma"/>
            <family val="2"/>
          </rPr>
          <t xml:space="preserve">
15%gain due to optimal circle packing</t>
        </r>
      </text>
    </comment>
    <comment ref="K37" authorId="1" shapeId="0" xr:uid="{2EFAB4CF-56EF-4AF6-A6BB-DC5587570F4E}">
      <text>
        <r>
          <rPr>
            <b/>
            <sz val="9"/>
            <color indexed="81"/>
            <rFont val="Tahoma"/>
            <family val="2"/>
          </rPr>
          <t>Iker:</t>
        </r>
        <r>
          <rPr>
            <sz val="9"/>
            <color indexed="81"/>
            <rFont val="Tahoma"/>
            <family val="2"/>
          </rPr>
          <t xml:space="preserve">
15%gain due to optimal circle packing</t>
        </r>
      </text>
    </comment>
    <comment ref="L37" authorId="1" shapeId="0" xr:uid="{4958E941-482D-46DD-9532-8B838D4C4F9D}">
      <text>
        <r>
          <rPr>
            <b/>
            <sz val="9"/>
            <color indexed="81"/>
            <rFont val="Tahoma"/>
            <family val="2"/>
          </rPr>
          <t>Iker:</t>
        </r>
        <r>
          <rPr>
            <sz val="9"/>
            <color indexed="81"/>
            <rFont val="Tahoma"/>
            <family val="2"/>
          </rPr>
          <t xml:space="preserve">
15%gain due to optimal circle packing</t>
        </r>
      </text>
    </comment>
    <comment ref="M37" authorId="1" shapeId="0" xr:uid="{063B9A8B-B46A-4FD6-88CE-64E46866EC4C}">
      <text>
        <r>
          <rPr>
            <b/>
            <sz val="9"/>
            <color indexed="81"/>
            <rFont val="Tahoma"/>
            <family val="2"/>
          </rPr>
          <t>Iker:</t>
        </r>
        <r>
          <rPr>
            <sz val="9"/>
            <color indexed="81"/>
            <rFont val="Tahoma"/>
            <family val="2"/>
          </rPr>
          <t xml:space="preserve">
15%gain due to optimal circle packing</t>
        </r>
      </text>
    </comment>
    <comment ref="N37" authorId="1" shapeId="0" xr:uid="{50035FC2-7107-427C-8940-B4490450C51A}">
      <text>
        <r>
          <rPr>
            <b/>
            <sz val="9"/>
            <color indexed="81"/>
            <rFont val="Tahoma"/>
            <family val="2"/>
          </rPr>
          <t>Iker:</t>
        </r>
        <r>
          <rPr>
            <sz val="9"/>
            <color indexed="81"/>
            <rFont val="Tahoma"/>
            <family val="2"/>
          </rPr>
          <t xml:space="preserve">
15%gain due to optimal circle packing</t>
        </r>
      </text>
    </comment>
    <comment ref="P37" authorId="2" shapeId="0" xr:uid="{C62CE00E-47E7-46F4-AB2B-BD252D6BB37D}">
      <text>
        <r>
          <rPr>
            <sz val="9"/>
            <color indexed="81"/>
            <rFont val="Tahoma"/>
            <family val="2"/>
          </rPr>
          <t>Fabrizio:
surface coverage ratio is about 25%, so footprint is 4x active surface area</t>
        </r>
      </text>
    </comment>
    <comment ref="Q37" authorId="2" shapeId="0" xr:uid="{00000000-0006-0000-0500-00000E000000}">
      <text>
        <r>
          <rPr>
            <sz val="9"/>
            <color indexed="81"/>
            <rFont val="Tahoma"/>
            <family val="2"/>
          </rPr>
          <t>Fabrizio:
surface coverage ratio is about 25%, so footprint is 4x active surface area</t>
        </r>
      </text>
    </comment>
    <comment ref="S37" authorId="1" shapeId="0" xr:uid="{77BBEB3E-2E14-4F99-AD00-836AEB9A6A74}">
      <text>
        <r>
          <rPr>
            <b/>
            <sz val="9"/>
            <color indexed="81"/>
            <rFont val="Tahoma"/>
            <family val="2"/>
          </rPr>
          <t>Iker:</t>
        </r>
        <r>
          <rPr>
            <sz val="9"/>
            <color indexed="81"/>
            <rFont val="Tahoma"/>
            <family val="2"/>
          </rPr>
          <t xml:space="preserve">
15%gain due to optimal circle packing</t>
        </r>
      </text>
    </comment>
    <comment ref="AE37" authorId="1" shapeId="0" xr:uid="{8102CF75-AE86-449E-A081-122C6CD51DE7}">
      <text>
        <r>
          <rPr>
            <b/>
            <sz val="9"/>
            <color indexed="81"/>
            <rFont val="Tahoma"/>
            <family val="2"/>
          </rPr>
          <t>Iker:</t>
        </r>
        <r>
          <rPr>
            <sz val="9"/>
            <color indexed="81"/>
            <rFont val="Tahoma"/>
            <family val="2"/>
          </rPr>
          <t xml:space="preserve">
15%gain due to optimal circle packing</t>
        </r>
      </text>
    </comment>
    <comment ref="O42" authorId="0" shapeId="0" xr:uid="{3214E2A0-0055-4FD3-A90D-12ECF065C133}">
      <text>
        <r>
          <rPr>
            <b/>
            <sz val="9"/>
            <color indexed="81"/>
            <rFont val="Tahoma"/>
            <family val="2"/>
          </rPr>
          <t>Fabrizio:</t>
        </r>
        <r>
          <rPr>
            <sz val="9"/>
            <color indexed="81"/>
            <rFont val="Tahoma"/>
            <family val="2"/>
          </rPr>
          <t xml:space="preserve">
floate</t>
        </r>
      </text>
    </comment>
    <comment ref="P42" authorId="1" shapeId="0" xr:uid="{7072EBAC-6A26-47AF-A3AB-F74B25EC18A1}">
      <text>
        <r>
          <rPr>
            <b/>
            <sz val="9"/>
            <color indexed="81"/>
            <rFont val="Tahoma"/>
            <family val="2"/>
          </rPr>
          <t>Iker:</t>
        </r>
        <r>
          <rPr>
            <sz val="9"/>
            <color indexed="81"/>
            <rFont val="Tahoma"/>
            <family val="2"/>
          </rPr>
          <t xml:space="preserve">
Fabrizio:
surface coverage ratio is about 25%, so footprint is 4x active surface area</t>
        </r>
      </text>
    </comment>
    <comment ref="Q42" authorId="1" shapeId="0" xr:uid="{00000000-0006-0000-0500-000011000000}">
      <text>
        <r>
          <rPr>
            <b/>
            <sz val="9"/>
            <color indexed="81"/>
            <rFont val="Tahoma"/>
            <family val="2"/>
          </rPr>
          <t>Iker:</t>
        </r>
        <r>
          <rPr>
            <sz val="9"/>
            <color indexed="81"/>
            <rFont val="Tahoma"/>
            <family val="2"/>
          </rPr>
          <t xml:space="preserve">
Fabrizio:
surface coverage ratio is about 25%, so footprint is 4x active surface area</t>
        </r>
      </text>
    </comment>
    <comment ref="AE42" authorId="0" shapeId="0" xr:uid="{1A1E0D93-6E45-4401-80E7-68C79D8A00C0}">
      <text>
        <r>
          <rPr>
            <b/>
            <sz val="9"/>
            <color indexed="81"/>
            <rFont val="Tahoma"/>
            <family val="2"/>
          </rPr>
          <t>Fabrizio:</t>
        </r>
        <r>
          <rPr>
            <sz val="9"/>
            <color indexed="81"/>
            <rFont val="Tahoma"/>
            <family val="2"/>
          </rPr>
          <t xml:space="preserve">
assuming 10 around the tower.</t>
        </r>
      </text>
    </comment>
    <comment ref="D47" authorId="1" shapeId="0" xr:uid="{00000000-0006-0000-0500-000012000000}">
      <text>
        <r>
          <rPr>
            <b/>
            <sz val="9"/>
            <color indexed="81"/>
            <rFont val="Tahoma"/>
            <family val="2"/>
          </rPr>
          <t>Iker:</t>
        </r>
        <r>
          <rPr>
            <sz val="9"/>
            <color indexed="81"/>
            <rFont val="Tahoma"/>
            <family val="2"/>
          </rPr>
          <t xml:space="preserve">
aircraft, kit, blade, solar pannel</t>
        </r>
      </text>
    </comment>
    <comment ref="L47" authorId="1" shapeId="0" xr:uid="{00000000-0006-0000-0500-000013000000}">
      <text>
        <r>
          <rPr>
            <b/>
            <sz val="9"/>
            <color indexed="81"/>
            <rFont val="Tahoma"/>
            <family val="2"/>
          </rPr>
          <t>Iker:</t>
        </r>
        <r>
          <rPr>
            <sz val="9"/>
            <color indexed="81"/>
            <rFont val="Tahoma"/>
            <family val="2"/>
          </rPr>
          <t xml:space="preserve">
from Michiel email</t>
        </r>
      </text>
    </comment>
    <comment ref="M47" authorId="1" shapeId="0" xr:uid="{00000000-0006-0000-0500-000014000000}">
      <text>
        <r>
          <rPr>
            <b/>
            <sz val="9"/>
            <color indexed="81"/>
            <rFont val="Tahoma"/>
            <family val="2"/>
          </rPr>
          <t>Iker:</t>
        </r>
        <r>
          <rPr>
            <sz val="9"/>
            <color indexed="81"/>
            <rFont val="Tahoma"/>
            <family val="2"/>
          </rPr>
          <t xml:space="preserve">
from Michiel email</t>
        </r>
      </text>
    </comment>
    <comment ref="D50" authorId="1" shapeId="0" xr:uid="{00000000-0006-0000-0500-000015000000}">
      <text>
        <r>
          <rPr>
            <b/>
            <sz val="9"/>
            <color indexed="81"/>
            <rFont val="Tahoma"/>
            <family val="2"/>
          </rPr>
          <t>Iker:</t>
        </r>
        <r>
          <rPr>
            <sz val="9"/>
            <color indexed="81"/>
            <rFont val="Tahoma"/>
            <family val="2"/>
          </rPr>
          <t xml:space="preserve">
for AWES: LLA + tether
for HAWT: tower
for solar: mounting structure</t>
        </r>
      </text>
    </comment>
    <comment ref="F50" authorId="1" shapeId="0" xr:uid="{CF4F0B8B-F4C4-4E10-8834-B9DC81CEB272}">
      <text>
        <r>
          <rPr>
            <b/>
            <sz val="9"/>
            <color indexed="81"/>
            <rFont val="Tahoma"/>
            <family val="2"/>
          </rPr>
          <t>Iker:</t>
        </r>
        <r>
          <rPr>
            <sz val="9"/>
            <color indexed="81"/>
            <rFont val="Tahoma"/>
            <family val="2"/>
          </rPr>
          <t xml:space="preserve">
Platform estimator model from Michiel</t>
        </r>
      </text>
    </comment>
    <comment ref="G50" authorId="1" shapeId="0" xr:uid="{F2D40B15-36E6-4810-96EB-BBB256745F7D}">
      <text>
        <r>
          <rPr>
            <b/>
            <sz val="9"/>
            <color indexed="81"/>
            <rFont val="Tahoma"/>
            <family val="2"/>
          </rPr>
          <t>Iker:</t>
        </r>
        <r>
          <rPr>
            <sz val="9"/>
            <color indexed="81"/>
            <rFont val="Tahoma"/>
            <family val="2"/>
          </rPr>
          <t xml:space="preserve">
Platform estimator model from Michiel</t>
        </r>
      </text>
    </comment>
    <comment ref="H50" authorId="1" shapeId="0" xr:uid="{AE353467-C33D-4CFD-9141-A18164001DBB}">
      <text>
        <r>
          <rPr>
            <b/>
            <sz val="9"/>
            <color indexed="81"/>
            <rFont val="Tahoma"/>
            <family val="2"/>
          </rPr>
          <t>Iker:</t>
        </r>
        <r>
          <rPr>
            <sz val="9"/>
            <color indexed="81"/>
            <rFont val="Tahoma"/>
            <family val="2"/>
          </rPr>
          <t xml:space="preserve">
from Michiel's email</t>
        </r>
      </text>
    </comment>
    <comment ref="I50" authorId="1" shapeId="0" xr:uid="{B6803DE8-0685-426C-AA50-F6AB6FF4EDD4}">
      <text>
        <r>
          <rPr>
            <b/>
            <sz val="9"/>
            <color indexed="81"/>
            <rFont val="Tahoma"/>
            <family val="2"/>
          </rPr>
          <t>Iker:</t>
        </r>
        <r>
          <rPr>
            <sz val="9"/>
            <color indexed="81"/>
            <rFont val="Tahoma"/>
            <family val="2"/>
          </rPr>
          <t xml:space="preserve">
from Michiel's email</t>
        </r>
      </text>
    </comment>
    <comment ref="J50" authorId="1" shapeId="0" xr:uid="{C0B35EDA-F67A-453C-9DA8-ED1DE56DFF77}">
      <text>
        <r>
          <rPr>
            <b/>
            <sz val="9"/>
            <color indexed="81"/>
            <rFont val="Tahoma"/>
            <family val="2"/>
          </rPr>
          <t>Iker:</t>
        </r>
        <r>
          <rPr>
            <sz val="9"/>
            <color indexed="81"/>
            <rFont val="Tahoma"/>
            <family val="2"/>
          </rPr>
          <t xml:space="preserve">
from Michiel's email</t>
        </r>
      </text>
    </comment>
    <comment ref="K50" authorId="1" shapeId="0" xr:uid="{73AA3176-FCBD-40AF-8499-83B8F5C7F07E}">
      <text>
        <r>
          <rPr>
            <b/>
            <sz val="9"/>
            <color indexed="81"/>
            <rFont val="Tahoma"/>
            <family val="2"/>
          </rPr>
          <t>Iker:</t>
        </r>
        <r>
          <rPr>
            <sz val="9"/>
            <color indexed="81"/>
            <rFont val="Tahoma"/>
            <family val="2"/>
          </rPr>
          <t xml:space="preserve">
from Michiel's email</t>
        </r>
      </text>
    </comment>
    <comment ref="P50" authorId="1" shapeId="0" xr:uid="{4BC1F62A-A93E-4A2B-BEF4-8A7CAEA72111}">
      <text>
        <r>
          <rPr>
            <b/>
            <sz val="9"/>
            <color indexed="81"/>
            <rFont val="Tahoma"/>
            <family val="2"/>
          </rPr>
          <t>Iker:</t>
        </r>
        <r>
          <rPr>
            <sz val="9"/>
            <color indexed="81"/>
            <rFont val="Tahoma"/>
            <family val="2"/>
          </rPr>
          <t xml:space="preserve">
Fabrizio:
 30 MT per MW for steel structure</t>
        </r>
      </text>
    </comment>
    <comment ref="Q50" authorId="1" shapeId="0" xr:uid="{00000000-0006-0000-0500-000017000000}">
      <text>
        <r>
          <rPr>
            <b/>
            <sz val="9"/>
            <color indexed="81"/>
            <rFont val="Tahoma"/>
            <family val="2"/>
          </rPr>
          <t>Iker:</t>
        </r>
        <r>
          <rPr>
            <sz val="9"/>
            <color indexed="81"/>
            <rFont val="Tahoma"/>
            <family val="2"/>
          </rPr>
          <t xml:space="preserve">
Fabrizio:
 30 MT per MW for steel structure</t>
        </r>
      </text>
    </comment>
    <comment ref="AE50" authorId="1" shapeId="0" xr:uid="{00000000-0006-0000-0500-000016000000}">
      <text>
        <r>
          <rPr>
            <b/>
            <sz val="9"/>
            <color indexed="81"/>
            <rFont val="Tahoma"/>
            <family val="2"/>
          </rPr>
          <t>Iker:</t>
        </r>
        <r>
          <rPr>
            <sz val="9"/>
            <color indexed="81"/>
            <rFont val="Tahoma"/>
            <family val="2"/>
          </rPr>
          <t xml:space="preserve">
Fabrizio:
file://agrajag/Strategy/Fundamentals/Data%20sources/energies-05-03425.pdf
Top Head Mass 106
Tower 5 section 255
</t>
        </r>
      </text>
    </comment>
    <comment ref="D51" authorId="1" shapeId="0" xr:uid="{00000000-0006-0000-0500-000018000000}">
      <text>
        <r>
          <rPr>
            <b/>
            <sz val="9"/>
            <color indexed="81"/>
            <rFont val="Tahoma"/>
            <family val="2"/>
          </rPr>
          <t>Iker:</t>
        </r>
        <r>
          <rPr>
            <sz val="9"/>
            <color indexed="81"/>
            <rFont val="Tahoma"/>
            <family val="2"/>
          </rPr>
          <t xml:space="preserve">
for AWES: PGA
for HAWT: nacelle, rotor
for solar: DC/AC cabling, inverters, transformers (assuming ~mounting structure mass)</t>
        </r>
      </text>
    </comment>
    <comment ref="F51" authorId="1" shapeId="0" xr:uid="{B7C78102-93F4-4AE1-9A81-FFB3FF92D6E5}">
      <text>
        <r>
          <rPr>
            <b/>
            <sz val="9"/>
            <color indexed="81"/>
            <rFont val="Tahoma"/>
            <family val="2"/>
          </rPr>
          <t>Iker:</t>
        </r>
        <r>
          <rPr>
            <sz val="9"/>
            <color indexed="81"/>
            <rFont val="Tahoma"/>
            <family val="2"/>
          </rPr>
          <t xml:space="preserve">
3D6068: WMM, PMM, Winch2</t>
        </r>
      </text>
    </comment>
    <comment ref="G51" authorId="1" shapeId="0" xr:uid="{4CC2B5C2-A115-4480-9160-8071AB6783B3}">
      <text>
        <r>
          <rPr>
            <b/>
            <sz val="9"/>
            <color indexed="81"/>
            <rFont val="Tahoma"/>
            <family val="2"/>
          </rPr>
          <t>Iker:</t>
        </r>
        <r>
          <rPr>
            <sz val="9"/>
            <color indexed="81"/>
            <rFont val="Tahoma"/>
            <family val="2"/>
          </rPr>
          <t xml:space="preserve">
scaled AP3 PGA with unit nominal power
</t>
        </r>
      </text>
    </comment>
    <comment ref="H51" authorId="1" shapeId="0" xr:uid="{00000000-0006-0000-0500-000019000000}">
      <text>
        <r>
          <rPr>
            <b/>
            <sz val="9"/>
            <color indexed="81"/>
            <rFont val="Tahoma"/>
            <family val="2"/>
          </rPr>
          <t>Iker:</t>
        </r>
        <r>
          <rPr>
            <sz val="9"/>
            <color indexed="81"/>
            <rFont val="Tahoma"/>
            <family val="2"/>
          </rPr>
          <t xml:space="preserve">
from Michiel email</t>
        </r>
      </text>
    </comment>
    <comment ref="I51" authorId="1" shapeId="0" xr:uid="{00000000-0006-0000-0500-00001A000000}">
      <text>
        <r>
          <rPr>
            <b/>
            <sz val="9"/>
            <color indexed="81"/>
            <rFont val="Tahoma"/>
            <family val="2"/>
          </rPr>
          <t>Iker:</t>
        </r>
        <r>
          <rPr>
            <sz val="9"/>
            <color indexed="81"/>
            <rFont val="Tahoma"/>
            <family val="2"/>
          </rPr>
          <t xml:space="preserve">
from Michiel email</t>
        </r>
      </text>
    </comment>
    <comment ref="J51" authorId="1" shapeId="0" xr:uid="{00000000-0006-0000-0500-00001B000000}">
      <text>
        <r>
          <rPr>
            <b/>
            <sz val="9"/>
            <color indexed="81"/>
            <rFont val="Tahoma"/>
            <family val="2"/>
          </rPr>
          <t>Iker:</t>
        </r>
        <r>
          <rPr>
            <sz val="9"/>
            <color indexed="81"/>
            <rFont val="Tahoma"/>
            <family val="2"/>
          </rPr>
          <t xml:space="preserve">
from Michiel email</t>
        </r>
      </text>
    </comment>
    <comment ref="K51" authorId="1" shapeId="0" xr:uid="{00000000-0006-0000-0500-00001C000000}">
      <text>
        <r>
          <rPr>
            <b/>
            <sz val="9"/>
            <color indexed="81"/>
            <rFont val="Tahoma"/>
            <family val="2"/>
          </rPr>
          <t>Iker:</t>
        </r>
        <r>
          <rPr>
            <sz val="9"/>
            <color indexed="81"/>
            <rFont val="Tahoma"/>
            <family val="2"/>
          </rPr>
          <t xml:space="preserve">
from Michiel email</t>
        </r>
      </text>
    </comment>
    <comment ref="D52" authorId="1" shapeId="0" xr:uid="{00000000-0006-0000-0500-00001D000000}">
      <text>
        <r>
          <rPr>
            <b/>
            <sz val="9"/>
            <color indexed="81"/>
            <rFont val="Tahoma"/>
            <family val="2"/>
          </rPr>
          <t>Iker:</t>
        </r>
        <r>
          <rPr>
            <sz val="9"/>
            <color indexed="81"/>
            <rFont val="Tahoma"/>
            <family val="2"/>
          </rPr>
          <t xml:space="preserve">
for offshore: floater &amp; mooring lines
for onshore: concrete</t>
        </r>
      </text>
    </comment>
    <comment ref="H52" authorId="1" shapeId="0" xr:uid="{00000000-0006-0000-0500-00001E000000}">
      <text>
        <r>
          <rPr>
            <b/>
            <sz val="9"/>
            <color indexed="81"/>
            <rFont val="Tahoma"/>
            <family val="2"/>
          </rPr>
          <t>Iker:</t>
        </r>
        <r>
          <rPr>
            <sz val="9"/>
            <color indexed="81"/>
            <rFont val="Tahoma"/>
            <family val="2"/>
          </rPr>
          <t xml:space="preserve">
from Michiel email</t>
        </r>
      </text>
    </comment>
    <comment ref="I52" authorId="1" shapeId="0" xr:uid="{890F9944-2834-422C-A3A2-EA6FAF185531}">
      <text>
        <r>
          <rPr>
            <b/>
            <sz val="9"/>
            <color indexed="81"/>
            <rFont val="Tahoma"/>
            <family val="2"/>
          </rPr>
          <t xml:space="preserve">Fabrizio
</t>
        </r>
        <r>
          <rPr>
            <sz val="9"/>
            <color indexed="81"/>
            <rFont val="Tahoma"/>
            <family val="2"/>
          </rPr>
          <t xml:space="preserve">NOV study for BVG benchmark:
floater steel mass rounded t 750
mooring steel (incl. anchors) rounded t 550
</t>
        </r>
      </text>
    </comment>
    <comment ref="J52" authorId="1" shapeId="0" xr:uid="{81057BB2-8EA8-44FE-B92F-7E000E80C0CA}">
      <text>
        <r>
          <rPr>
            <b/>
            <sz val="9"/>
            <color indexed="81"/>
            <rFont val="Tahoma"/>
            <family val="2"/>
          </rPr>
          <t>Iker:</t>
        </r>
        <r>
          <rPr>
            <sz val="9"/>
            <color indexed="81"/>
            <rFont val="Tahoma"/>
            <family val="2"/>
          </rPr>
          <t xml:space="preserve">
from Michiel email</t>
        </r>
      </text>
    </comment>
    <comment ref="K52" authorId="1" shapeId="0" xr:uid="{534B004C-DF97-465A-8DD8-FDA91FA47642}">
      <text>
        <r>
          <rPr>
            <b/>
            <sz val="9"/>
            <color indexed="81"/>
            <rFont val="Tahoma"/>
            <family val="2"/>
          </rPr>
          <t xml:space="preserve">Fabrizio
</t>
        </r>
        <r>
          <rPr>
            <sz val="9"/>
            <color indexed="81"/>
            <rFont val="Tahoma"/>
            <family val="2"/>
          </rPr>
          <t xml:space="preserve">NOV study for BVG benchmark:
floater steel mass rounded t  1 000
mooring steel (incl. anchors) rounded t 670
</t>
        </r>
      </text>
    </comment>
    <comment ref="O52" authorId="0" shapeId="0" xr:uid="{EDB0D22A-A535-4EE9-9017-B121BB75BDF8}">
      <text>
        <r>
          <rPr>
            <b/>
            <sz val="9"/>
            <color indexed="81"/>
            <rFont val="Tahoma"/>
            <family val="2"/>
          </rPr>
          <t>Fabrizio:</t>
        </r>
        <r>
          <rPr>
            <sz val="9"/>
            <color indexed="81"/>
            <rFont val="Tahoma"/>
            <family val="2"/>
          </rPr>
          <t xml:space="preserve">
  NREL 5 MW standard https://www.nrel.gov/docs/fy14osti/60601.pdf
Mass of floater is 13500 ton (indeed 9 times AWES system), of which 3850 ton steel (about 5.5 times AWES).
</t>
        </r>
      </text>
    </comment>
    <comment ref="P52" authorId="1" shapeId="0" xr:uid="{AABD19D3-659C-498C-8177-2478192F6F38}">
      <text>
        <r>
          <rPr>
            <b/>
            <sz val="9"/>
            <color indexed="81"/>
            <rFont val="Tahoma"/>
            <family val="2"/>
          </rPr>
          <t>Iker:</t>
        </r>
        <r>
          <rPr>
            <sz val="9"/>
            <color indexed="81"/>
            <rFont val="Tahoma"/>
            <family val="2"/>
          </rPr>
          <t xml:space="preserve">
Fabrizio:
assuming foundations weight is 2x the mounting structure weight</t>
        </r>
      </text>
    </comment>
    <comment ref="Q52" authorId="1" shapeId="0" xr:uid="{00000000-0006-0000-0500-000022000000}">
      <text>
        <r>
          <rPr>
            <b/>
            <sz val="9"/>
            <color indexed="81"/>
            <rFont val="Tahoma"/>
            <family val="2"/>
          </rPr>
          <t>Iker:</t>
        </r>
        <r>
          <rPr>
            <sz val="9"/>
            <color indexed="81"/>
            <rFont val="Tahoma"/>
            <family val="2"/>
          </rPr>
          <t xml:space="preserve">
Fabrizio:
assuming foundations weight is 2x the mounting structure weight</t>
        </r>
      </text>
    </comment>
    <comment ref="D53" authorId="1" shapeId="0" xr:uid="{00000000-0006-0000-0500-000023000000}">
      <text>
        <r>
          <rPr>
            <b/>
            <sz val="9"/>
            <color indexed="81"/>
            <rFont val="Tahoma"/>
            <family val="2"/>
          </rPr>
          <t>Iker:</t>
        </r>
        <r>
          <rPr>
            <sz val="9"/>
            <color indexed="81"/>
            <rFont val="Tahoma"/>
            <family val="2"/>
          </rPr>
          <t xml:space="preserve">
fencing, civil works, ...</t>
        </r>
      </text>
    </comment>
    <comment ref="D57" authorId="1" shapeId="0" xr:uid="{00000000-0006-0000-0500-000024000000}">
      <text>
        <r>
          <rPr>
            <b/>
            <sz val="9"/>
            <color indexed="81"/>
            <rFont val="Tahoma"/>
            <family val="2"/>
          </rPr>
          <t>Iker:</t>
        </r>
        <r>
          <rPr>
            <sz val="9"/>
            <color indexed="81"/>
            <rFont val="Tahoma"/>
            <family val="2"/>
          </rPr>
          <t xml:space="preserve">
mean pattern height for AWES, hub height for HAWT</t>
        </r>
      </text>
    </comment>
    <comment ref="G60" authorId="1" shapeId="0" xr:uid="{00000000-0006-0000-0500-000025000000}">
      <text>
        <r>
          <rPr>
            <b/>
            <sz val="9"/>
            <color indexed="81"/>
            <rFont val="Tahoma"/>
            <family val="2"/>
          </rPr>
          <t xml:space="preserve">Iker:
</t>
        </r>
        <r>
          <rPr>
            <sz val="9"/>
            <color indexed="81"/>
            <rFont val="Tahoma"/>
            <family val="2"/>
          </rPr>
          <t xml:space="preserve">Michiel's email (S.Wilhem's paper without cabling and corrected for PGA and RPA mass; these contributions are doubled)
</t>
        </r>
      </text>
    </comment>
    <comment ref="H60" authorId="1" shapeId="0" xr:uid="{B7DF0C18-B8A2-4E83-9DF9-C1828A2F384B}">
      <text>
        <r>
          <rPr>
            <b/>
            <sz val="9"/>
            <color indexed="81"/>
            <rFont val="Tahoma"/>
            <family val="2"/>
          </rPr>
          <t xml:space="preserve">Iker:
</t>
        </r>
        <r>
          <rPr>
            <sz val="9"/>
            <color indexed="81"/>
            <rFont val="Tahoma"/>
            <family val="2"/>
          </rPr>
          <t xml:space="preserve">Michiel's email (S.Wilhem's paper without cabling and corrected for PGA and RPA mass; these contributions are doubled)
</t>
        </r>
      </text>
    </comment>
    <comment ref="I60" authorId="1" shapeId="0" xr:uid="{41FC3D63-B7AB-468B-9FEC-38744138692C}">
      <text>
        <r>
          <rPr>
            <b/>
            <sz val="9"/>
            <color indexed="81"/>
            <rFont val="Tahoma"/>
            <family val="2"/>
          </rPr>
          <t xml:space="preserve">Iker:
</t>
        </r>
        <r>
          <rPr>
            <sz val="9"/>
            <color indexed="81"/>
            <rFont val="Tahoma"/>
            <family val="2"/>
          </rPr>
          <t xml:space="preserve">Michiel's email (S.Wilhem's paper without cabling and corrected for PGA and RPA mass; these contributions are doubled)
</t>
        </r>
      </text>
    </comment>
    <comment ref="J60" authorId="1" shapeId="0" xr:uid="{2F695572-16CD-41FF-904F-EBA25AE4F6BC}">
      <text>
        <r>
          <rPr>
            <b/>
            <sz val="9"/>
            <color indexed="81"/>
            <rFont val="Tahoma"/>
            <family val="2"/>
          </rPr>
          <t xml:space="preserve">Iker:
</t>
        </r>
        <r>
          <rPr>
            <sz val="9"/>
            <color indexed="81"/>
            <rFont val="Tahoma"/>
            <family val="2"/>
          </rPr>
          <t xml:space="preserve">Michiel's email (S.Wilhem's paper without cabling and corrected for PGA and RPA mass; these contributions are doubled)
</t>
        </r>
      </text>
    </comment>
    <comment ref="K60" authorId="1" shapeId="0" xr:uid="{4481AEC3-0BF8-4AC3-BFE5-3A48C3D625DD}">
      <text>
        <r>
          <rPr>
            <b/>
            <sz val="9"/>
            <color indexed="81"/>
            <rFont val="Tahoma"/>
            <family val="2"/>
          </rPr>
          <t xml:space="preserve">Iker:
</t>
        </r>
        <r>
          <rPr>
            <sz val="9"/>
            <color indexed="81"/>
            <rFont val="Tahoma"/>
            <family val="2"/>
          </rPr>
          <t xml:space="preserve">Michiel's email (S.Wilhem's paper without cabling and corrected for PGA and RPA mass; these contributions are doubled)
</t>
        </r>
      </text>
    </comment>
    <comment ref="N60" authorId="1" shapeId="0" xr:uid="{2519BC43-212A-4F10-9BC0-D18327C8FD41}">
      <text>
        <r>
          <rPr>
            <b/>
            <sz val="9"/>
            <color indexed="81"/>
            <rFont val="Tahoma"/>
            <family val="2"/>
          </rPr>
          <t>Iker:</t>
        </r>
        <r>
          <rPr>
            <sz val="9"/>
            <color indexed="81"/>
            <rFont val="Tahoma"/>
            <family val="2"/>
          </rPr>
          <t xml:space="preserve">
https://www.vestas.com/~/media/vestas/about/sustainability/pdfs/v1123%2045mw_mk3a_iso_lca_final_31072017.pdf</t>
        </r>
      </text>
    </comment>
    <comment ref="O60" authorId="1" shapeId="0" xr:uid="{6F8D4C2A-D4AB-46DB-80BB-BF3798A0954E}">
      <text>
        <r>
          <rPr>
            <b/>
            <sz val="9"/>
            <color indexed="81"/>
            <rFont val="Tahoma"/>
            <family val="2"/>
          </rPr>
          <t>Iker:</t>
        </r>
        <r>
          <rPr>
            <sz val="9"/>
            <color indexed="81"/>
            <rFont val="Tahoma"/>
            <family val="2"/>
          </rPr>
          <t xml:space="preserve">
guesstimate</t>
        </r>
      </text>
    </comment>
    <comment ref="P60" authorId="0" shapeId="0" xr:uid="{799FE234-903C-472B-89E6-A43B6A9D4397}">
      <text>
        <r>
          <rPr>
            <b/>
            <sz val="9"/>
            <color indexed="81"/>
            <rFont val="Tahoma"/>
            <family val="2"/>
          </rPr>
          <t>Fabrizio:</t>
        </r>
        <r>
          <rPr>
            <sz val="9"/>
            <color indexed="81"/>
            <rFont val="Tahoma"/>
            <family val="2"/>
          </rPr>
          <t xml:space="preserve">
50 g for 1500 hr/yr yield.</t>
        </r>
      </text>
    </comment>
    <comment ref="AE60" authorId="1" shapeId="0" xr:uid="{21FBA616-A15F-4490-AA27-D183AA1FC2C2}">
      <text>
        <r>
          <rPr>
            <b/>
            <sz val="9"/>
            <color indexed="81"/>
            <rFont val="Tahoma"/>
            <family val="2"/>
          </rPr>
          <t>Iker:</t>
        </r>
        <r>
          <rPr>
            <sz val="9"/>
            <color indexed="81"/>
            <rFont val="Tahoma"/>
            <family val="2"/>
          </rPr>
          <t xml:space="preserve">
from Michiel email, Vestas V82 1,65MW</t>
        </r>
      </text>
    </comment>
    <comment ref="G61" authorId="1" shapeId="0" xr:uid="{79527567-4517-4050-B640-1D0A6D553AAD}">
      <text>
        <r>
          <rPr>
            <b/>
            <sz val="9"/>
            <color indexed="81"/>
            <rFont val="Tahoma"/>
            <family val="2"/>
          </rPr>
          <t>Iker:</t>
        </r>
        <r>
          <rPr>
            <sz val="9"/>
            <color indexed="81"/>
            <rFont val="Tahoma"/>
            <family val="2"/>
          </rPr>
          <t xml:space="preserve">
from Michiel email</t>
        </r>
      </text>
    </comment>
    <comment ref="H61" authorId="1" shapeId="0" xr:uid="{5257CBF1-8E06-4CA4-8B6B-6A59516758B6}">
      <text>
        <r>
          <rPr>
            <b/>
            <sz val="9"/>
            <color indexed="81"/>
            <rFont val="Tahoma"/>
            <family val="2"/>
          </rPr>
          <t>Iker:</t>
        </r>
        <r>
          <rPr>
            <sz val="9"/>
            <color indexed="81"/>
            <rFont val="Tahoma"/>
            <family val="2"/>
          </rPr>
          <t xml:space="preserve">
from Michiel email</t>
        </r>
      </text>
    </comment>
    <comment ref="I61" authorId="1" shapeId="0" xr:uid="{34321146-90D3-4CC3-AA8E-CC440C15A173}">
      <text>
        <r>
          <rPr>
            <b/>
            <sz val="9"/>
            <color indexed="81"/>
            <rFont val="Tahoma"/>
            <family val="2"/>
          </rPr>
          <t>Iker:</t>
        </r>
        <r>
          <rPr>
            <sz val="9"/>
            <color indexed="81"/>
            <rFont val="Tahoma"/>
            <family val="2"/>
          </rPr>
          <t xml:space="preserve">
from Michiel email</t>
        </r>
      </text>
    </comment>
    <comment ref="J61" authorId="1" shapeId="0" xr:uid="{844DE3DC-7ECA-49A5-A1C9-FF5216D77A6A}">
      <text>
        <r>
          <rPr>
            <b/>
            <sz val="9"/>
            <color indexed="81"/>
            <rFont val="Tahoma"/>
            <family val="2"/>
          </rPr>
          <t>Iker:</t>
        </r>
        <r>
          <rPr>
            <sz val="9"/>
            <color indexed="81"/>
            <rFont val="Tahoma"/>
            <family val="2"/>
          </rPr>
          <t xml:space="preserve">
from Michiel email</t>
        </r>
      </text>
    </comment>
    <comment ref="K61" authorId="1" shapeId="0" xr:uid="{C4082AE0-0741-4879-B691-FC8ADBD02F5A}">
      <text>
        <r>
          <rPr>
            <b/>
            <sz val="9"/>
            <color indexed="81"/>
            <rFont val="Tahoma"/>
            <family val="2"/>
          </rPr>
          <t>Iker:</t>
        </r>
        <r>
          <rPr>
            <sz val="9"/>
            <color indexed="81"/>
            <rFont val="Tahoma"/>
            <family val="2"/>
          </rPr>
          <t xml:space="preserve">
from Michiel email</t>
        </r>
      </text>
    </comment>
    <comment ref="N61" authorId="1" shapeId="0" xr:uid="{B0B352C4-009E-4CEC-A41E-59010086DAC0}">
      <text>
        <r>
          <rPr>
            <b/>
            <sz val="9"/>
            <color indexed="81"/>
            <rFont val="Tahoma"/>
            <family val="2"/>
          </rPr>
          <t>Iker:</t>
        </r>
        <r>
          <rPr>
            <sz val="9"/>
            <color indexed="81"/>
            <rFont val="Tahoma"/>
            <family val="2"/>
          </rPr>
          <t xml:space="preserve">
https://www.vestas.com/en/about/sustainability#!grid_0_content_15_Container</t>
        </r>
      </text>
    </comment>
    <comment ref="O61" authorId="1" shapeId="0" xr:uid="{33308E6F-6CDF-4588-AA09-9BCF52523FAB}">
      <text>
        <r>
          <rPr>
            <b/>
            <sz val="9"/>
            <color indexed="81"/>
            <rFont val="Tahoma"/>
            <family val="2"/>
          </rPr>
          <t>Iker:</t>
        </r>
        <r>
          <rPr>
            <sz val="9"/>
            <color indexed="81"/>
            <rFont val="Tahoma"/>
            <family val="2"/>
          </rPr>
          <t xml:space="preserve">
https://www.vestas.com/en/about/sustainability#!grid_0_content_15_Container</t>
        </r>
      </text>
    </comment>
    <comment ref="P61" authorId="1" shapeId="0" xr:uid="{2845FD9B-E3A3-43F3-90E0-C2209641137A}">
      <text>
        <r>
          <rPr>
            <b/>
            <sz val="9"/>
            <color indexed="81"/>
            <rFont val="Tahoma"/>
            <family val="2"/>
          </rPr>
          <t>Iker:</t>
        </r>
        <r>
          <rPr>
            <sz val="9"/>
            <color indexed="81"/>
            <rFont val="Tahoma"/>
            <family val="2"/>
          </rPr>
          <t xml:space="preserve">
mean number between 0.5 and 6 references in  https://www.sciencedirect.com/science/article/abs/pii/S1364032118305574
</t>
        </r>
      </text>
    </comment>
    <comment ref="Q61" authorId="1" shapeId="0" xr:uid="{CFD70BB5-55FE-4691-A689-8A844C7DB939}">
      <text>
        <r>
          <rPr>
            <b/>
            <sz val="9"/>
            <color indexed="81"/>
            <rFont val="Tahoma"/>
            <family val="2"/>
          </rPr>
          <t>Iker:</t>
        </r>
        <r>
          <rPr>
            <sz val="9"/>
            <color indexed="81"/>
            <rFont val="Tahoma"/>
            <family val="2"/>
          </rPr>
          <t xml:space="preserve">
mean number between 0.5 and 6 references in  https://www.sciencedirect.com/science/article/abs/pii/S1364032118305574
</t>
        </r>
      </text>
    </comment>
    <comment ref="AE61" authorId="1" shapeId="0" xr:uid="{E699B133-72E3-43DB-A79D-8055E346C798}">
      <text>
        <r>
          <rPr>
            <b/>
            <sz val="9"/>
            <color indexed="81"/>
            <rFont val="Tahoma"/>
            <family val="2"/>
          </rPr>
          <t>Iker:</t>
        </r>
        <r>
          <rPr>
            <sz val="9"/>
            <color indexed="81"/>
            <rFont val="Tahoma"/>
            <family val="2"/>
          </rPr>
          <t xml:space="preserve">
from Michiel email, Vestas V82 1,65MW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Fabrizio Nastri</author>
    <author>Ampyx</author>
    <author>Iker</author>
  </authors>
  <commentList>
    <comment ref="C111" authorId="0" shapeId="0" xr:uid="{00000000-0006-0000-0300-000001000000}">
      <text>
        <r>
          <rPr>
            <b/>
            <sz val="9"/>
            <color indexed="81"/>
            <rFont val="Tahoma"/>
            <family val="2"/>
          </rPr>
          <t>Fabrizio Nastri:</t>
        </r>
        <r>
          <rPr>
            <sz val="9"/>
            <color indexed="81"/>
            <rFont val="Tahoma"/>
            <family val="2"/>
          </rPr>
          <t xml:space="preserve">
quote for a 2 MW system</t>
        </r>
      </text>
    </comment>
    <comment ref="C112" authorId="0" shapeId="0" xr:uid="{00000000-0006-0000-0300-000002000000}">
      <text>
        <r>
          <rPr>
            <b/>
            <sz val="9"/>
            <color indexed="81"/>
            <rFont val="Tahoma"/>
            <family val="2"/>
          </rPr>
          <t>Fabrizio Nastri:</t>
        </r>
        <r>
          <rPr>
            <sz val="9"/>
            <color indexed="81"/>
            <rFont val="Tahoma"/>
            <family val="2"/>
          </rPr>
          <t xml:space="preserve">
quote for a 5 MW peak system</t>
        </r>
      </text>
    </comment>
    <comment ref="C187" authorId="0" shapeId="0" xr:uid="{00000000-0006-0000-0300-000003000000}">
      <text>
        <r>
          <rPr>
            <b/>
            <sz val="9"/>
            <color indexed="81"/>
            <rFont val="Tahoma"/>
            <family val="2"/>
          </rPr>
          <t>Fabrizio Nastri:</t>
        </r>
        <r>
          <rPr>
            <sz val="9"/>
            <color indexed="81"/>
            <rFont val="Tahoma"/>
            <family val="2"/>
          </rPr>
          <t xml:space="preserve">
Assumed same cost for repowering and greenfield</t>
        </r>
      </text>
    </comment>
    <comment ref="C242" authorId="0" shapeId="0" xr:uid="{00000000-0006-0000-0300-000004000000}">
      <text>
        <r>
          <rPr>
            <b/>
            <sz val="9"/>
            <color indexed="81"/>
            <rFont val="Tahoma"/>
            <family val="2"/>
          </rPr>
          <t>Fabrizio Nastri:</t>
        </r>
        <r>
          <rPr>
            <sz val="9"/>
            <color indexed="81"/>
            <rFont val="Tahoma"/>
            <family val="2"/>
          </rPr>
          <t xml:space="preserve">
assumed same cost for repowering and greenfield</t>
        </r>
      </text>
    </comment>
    <comment ref="C266" authorId="1" shapeId="0" xr:uid="{00000000-0006-0000-0300-000005000000}">
      <text>
        <r>
          <rPr>
            <b/>
            <sz val="9"/>
            <color indexed="81"/>
            <rFont val="Tahoma"/>
            <family val="2"/>
          </rPr>
          <t>Ampyx:</t>
        </r>
        <r>
          <rPr>
            <sz val="9"/>
            <color indexed="81"/>
            <rFont val="Tahoma"/>
            <family val="2"/>
          </rPr>
          <t xml:space="preserve">
80% scale factor on farm size according to NOV</t>
        </r>
      </text>
    </comment>
    <comment ref="C273" authorId="2" shapeId="0" xr:uid="{00000000-0006-0000-0300-000006000000}">
      <text>
        <r>
          <rPr>
            <b/>
            <sz val="9"/>
            <color indexed="81"/>
            <rFont val="Tahoma"/>
            <family val="2"/>
          </rPr>
          <t>Iker:</t>
        </r>
        <r>
          <rPr>
            <sz val="9"/>
            <color indexed="81"/>
            <rFont val="Tahoma"/>
            <family val="2"/>
          </rPr>
          <t xml:space="preserve">
NOV number, for 1 unit of 5 MW</t>
        </r>
      </text>
    </comment>
    <comment ref="C276" authorId="1" shapeId="0" xr:uid="{00000000-0006-0000-0300-000007000000}">
      <text>
        <r>
          <rPr>
            <b/>
            <sz val="9"/>
            <color indexed="81"/>
            <rFont val="Tahoma"/>
            <family val="2"/>
          </rPr>
          <t>Ampyx:</t>
        </r>
        <r>
          <rPr>
            <sz val="9"/>
            <color indexed="81"/>
            <rFont val="Tahoma"/>
            <family val="2"/>
          </rPr>
          <t xml:space="preserve">
80% scale factor on farm size according to NOV</t>
        </r>
      </text>
    </comment>
    <comment ref="C283" authorId="2" shapeId="0" xr:uid="{00000000-0006-0000-0300-000008000000}">
      <text>
        <r>
          <rPr>
            <b/>
            <sz val="9"/>
            <color indexed="81"/>
            <rFont val="Tahoma"/>
            <family val="2"/>
          </rPr>
          <t>Iker:</t>
        </r>
        <r>
          <rPr>
            <sz val="9"/>
            <color indexed="81"/>
            <rFont val="Tahoma"/>
            <family val="2"/>
          </rPr>
          <t xml:space="preserve">
NOV number, for 1 unit of 5 MW</t>
        </r>
      </text>
    </comment>
    <comment ref="C286" authorId="1" shapeId="0" xr:uid="{00000000-0006-0000-0300-000009000000}">
      <text>
        <r>
          <rPr>
            <b/>
            <sz val="9"/>
            <color indexed="81"/>
            <rFont val="Tahoma"/>
            <family val="2"/>
          </rPr>
          <t>Ampyx:</t>
        </r>
        <r>
          <rPr>
            <sz val="9"/>
            <color indexed="81"/>
            <rFont val="Tahoma"/>
            <family val="2"/>
          </rPr>
          <t xml:space="preserve">
80% scale factor on farm size according to NOV</t>
        </r>
      </text>
    </comment>
    <comment ref="C293" authorId="2" shapeId="0" xr:uid="{00000000-0006-0000-0300-00000A000000}">
      <text>
        <r>
          <rPr>
            <b/>
            <sz val="9"/>
            <color indexed="81"/>
            <rFont val="Tahoma"/>
            <family val="2"/>
          </rPr>
          <t>Iker:</t>
        </r>
        <r>
          <rPr>
            <sz val="9"/>
            <color indexed="81"/>
            <rFont val="Tahoma"/>
            <family val="2"/>
          </rPr>
          <t xml:space="preserve">
NOV number, for 1 unit of 5 MW</t>
        </r>
      </text>
    </comment>
    <comment ref="C296" authorId="1" shapeId="0" xr:uid="{00000000-0006-0000-0300-00000B000000}">
      <text>
        <r>
          <rPr>
            <b/>
            <sz val="9"/>
            <color indexed="81"/>
            <rFont val="Tahoma"/>
            <family val="2"/>
          </rPr>
          <t>Ampyx:</t>
        </r>
        <r>
          <rPr>
            <sz val="9"/>
            <color indexed="81"/>
            <rFont val="Tahoma"/>
            <family val="2"/>
          </rPr>
          <t xml:space="preserve">
80% scale factor on farm size according to NOV</t>
        </r>
      </text>
    </comment>
    <comment ref="C398" authorId="1" shapeId="0" xr:uid="{00000000-0006-0000-0300-00000C000000}">
      <text>
        <r>
          <rPr>
            <b/>
            <sz val="9"/>
            <color indexed="81"/>
            <rFont val="Tahoma"/>
            <family val="2"/>
          </rPr>
          <t>Ampyx:</t>
        </r>
        <r>
          <rPr>
            <sz val="9"/>
            <color indexed="81"/>
            <rFont val="Tahoma"/>
            <family val="2"/>
          </rPr>
          <t xml:space="preserve">
only for onshore</t>
        </r>
      </text>
    </comment>
    <comment ref="H468" authorId="0" shapeId="0" xr:uid="{00000000-0006-0000-0300-00000D000000}">
      <text>
        <r>
          <rPr>
            <b/>
            <sz val="9"/>
            <color indexed="81"/>
            <rFont val="Tahoma"/>
            <family val="2"/>
          </rPr>
          <t>Fabrizio Nastri:</t>
        </r>
        <r>
          <rPr>
            <sz val="9"/>
            <color indexed="81"/>
            <rFont val="Tahoma"/>
            <family val="2"/>
          </rPr>
          <t xml:space="preserve">
- Akka mass gain only</t>
        </r>
      </text>
    </comment>
    <comment ref="I468" authorId="0" shapeId="0" xr:uid="{00000000-0006-0000-0300-00000E000000}">
      <text>
        <r>
          <rPr>
            <b/>
            <sz val="9"/>
            <color indexed="81"/>
            <rFont val="Tahoma"/>
            <family val="2"/>
          </rPr>
          <t>Fabrizio Nastri:</t>
        </r>
        <r>
          <rPr>
            <sz val="9"/>
            <color indexed="81"/>
            <rFont val="Tahoma"/>
            <family val="2"/>
          </rPr>
          <t xml:space="preserve">
- Akka mass gain only</t>
        </r>
      </text>
    </comment>
    <comment ref="J468" authorId="0" shapeId="0" xr:uid="{00000000-0006-0000-0300-00000F000000}">
      <text>
        <r>
          <rPr>
            <b/>
            <sz val="9"/>
            <color indexed="81"/>
            <rFont val="Tahoma"/>
            <family val="2"/>
          </rPr>
          <t>Fabrizio Nastri:</t>
        </r>
        <r>
          <rPr>
            <sz val="9"/>
            <color indexed="81"/>
            <rFont val="Tahoma"/>
            <family val="2"/>
          </rPr>
          <t xml:space="preserve">
- Akka mass gain only</t>
        </r>
      </text>
    </comment>
    <comment ref="K468" authorId="0" shapeId="0" xr:uid="{00000000-0006-0000-0300-000010000000}">
      <text>
        <r>
          <rPr>
            <b/>
            <sz val="9"/>
            <color indexed="81"/>
            <rFont val="Tahoma"/>
            <family val="2"/>
          </rPr>
          <t>Fabrizio Nastri:</t>
        </r>
        <r>
          <rPr>
            <sz val="9"/>
            <color indexed="81"/>
            <rFont val="Tahoma"/>
            <family val="2"/>
          </rPr>
          <t xml:space="preserve">
- Akka mass gain only</t>
        </r>
      </text>
    </comment>
    <comment ref="L468" authorId="0" shapeId="0" xr:uid="{00000000-0006-0000-0300-000011000000}">
      <text>
        <r>
          <rPr>
            <b/>
            <sz val="9"/>
            <color indexed="81"/>
            <rFont val="Tahoma"/>
            <family val="2"/>
          </rPr>
          <t>Fabrizio Nastri:</t>
        </r>
        <r>
          <rPr>
            <sz val="9"/>
            <color indexed="81"/>
            <rFont val="Tahoma"/>
            <family val="2"/>
          </rPr>
          <t xml:space="preserve">
- Akka mass gain only</t>
        </r>
      </text>
    </comment>
    <comment ref="M468" authorId="0" shapeId="0" xr:uid="{00000000-0006-0000-0300-000012000000}">
      <text>
        <r>
          <rPr>
            <b/>
            <sz val="9"/>
            <color indexed="81"/>
            <rFont val="Tahoma"/>
            <family val="2"/>
          </rPr>
          <t>Fabrizio Nastri:</t>
        </r>
        <r>
          <rPr>
            <sz val="9"/>
            <color indexed="81"/>
            <rFont val="Tahoma"/>
            <family val="2"/>
          </rPr>
          <t xml:space="preserve">
- Akka mass gain only</t>
        </r>
      </text>
    </comment>
    <comment ref="I535" authorId="2" shapeId="0" xr:uid="{00000000-0006-0000-0300-000013000000}">
      <text>
        <r>
          <rPr>
            <b/>
            <sz val="9"/>
            <color indexed="81"/>
            <rFont val="Tahoma"/>
            <family val="2"/>
          </rPr>
          <t>Iker:</t>
        </r>
        <r>
          <rPr>
            <sz val="9"/>
            <color indexed="81"/>
            <rFont val="Tahoma"/>
            <family val="2"/>
          </rPr>
          <t>included above in floater cost</t>
        </r>
      </text>
    </comment>
    <comment ref="J535" authorId="2" shapeId="0" xr:uid="{00000000-0006-0000-0300-000014000000}">
      <text>
        <r>
          <rPr>
            <b/>
            <sz val="9"/>
            <color indexed="81"/>
            <rFont val="Tahoma"/>
            <family val="2"/>
          </rPr>
          <t>Iker:</t>
        </r>
        <r>
          <rPr>
            <sz val="9"/>
            <color indexed="81"/>
            <rFont val="Tahoma"/>
            <family val="2"/>
          </rPr>
          <t>included above in floater cost</t>
        </r>
      </text>
    </comment>
    <comment ref="K535" authorId="2" shapeId="0" xr:uid="{00000000-0006-0000-0300-000015000000}">
      <text>
        <r>
          <rPr>
            <b/>
            <sz val="9"/>
            <color indexed="81"/>
            <rFont val="Tahoma"/>
            <family val="2"/>
          </rPr>
          <t>Iker:</t>
        </r>
        <r>
          <rPr>
            <sz val="9"/>
            <color indexed="81"/>
            <rFont val="Tahoma"/>
            <family val="2"/>
          </rPr>
          <t>included above in floater cost</t>
        </r>
      </text>
    </comment>
    <comment ref="L535" authorId="2" shapeId="0" xr:uid="{00000000-0006-0000-0300-000016000000}">
      <text>
        <r>
          <rPr>
            <b/>
            <sz val="9"/>
            <color indexed="81"/>
            <rFont val="Tahoma"/>
            <family val="2"/>
          </rPr>
          <t>Iker:</t>
        </r>
        <r>
          <rPr>
            <sz val="9"/>
            <color indexed="81"/>
            <rFont val="Tahoma"/>
            <family val="2"/>
          </rPr>
          <t>included above in floater cost</t>
        </r>
      </text>
    </comment>
    <comment ref="M535" authorId="2" shapeId="0" xr:uid="{00000000-0006-0000-0300-000017000000}">
      <text>
        <r>
          <rPr>
            <b/>
            <sz val="9"/>
            <color indexed="81"/>
            <rFont val="Tahoma"/>
            <family val="2"/>
          </rPr>
          <t>Iker:</t>
        </r>
        <r>
          <rPr>
            <sz val="9"/>
            <color indexed="81"/>
            <rFont val="Tahoma"/>
            <family val="2"/>
          </rPr>
          <t>included above in floater cost</t>
        </r>
      </text>
    </comment>
    <comment ref="N535" authorId="2" shapeId="0" xr:uid="{00000000-0006-0000-0300-000018000000}">
      <text>
        <r>
          <rPr>
            <b/>
            <sz val="9"/>
            <color indexed="81"/>
            <rFont val="Tahoma"/>
            <family val="2"/>
          </rPr>
          <t>Iker:</t>
        </r>
        <r>
          <rPr>
            <sz val="9"/>
            <color indexed="81"/>
            <rFont val="Tahoma"/>
            <family val="2"/>
          </rPr>
          <t>included above in floater cost</t>
        </r>
      </text>
    </comment>
    <comment ref="O535" authorId="2" shapeId="0" xr:uid="{00000000-0006-0000-0300-000019000000}">
      <text>
        <r>
          <rPr>
            <b/>
            <sz val="9"/>
            <color indexed="81"/>
            <rFont val="Tahoma"/>
            <family val="2"/>
          </rPr>
          <t>Iker:</t>
        </r>
        <r>
          <rPr>
            <sz val="9"/>
            <color indexed="81"/>
            <rFont val="Tahoma"/>
            <family val="2"/>
          </rPr>
          <t>included above in floater cost</t>
        </r>
      </text>
    </comment>
    <comment ref="P535" authorId="2" shapeId="0" xr:uid="{00000000-0006-0000-0300-00001A000000}">
      <text>
        <r>
          <rPr>
            <b/>
            <sz val="9"/>
            <color indexed="81"/>
            <rFont val="Tahoma"/>
            <family val="2"/>
          </rPr>
          <t>Iker:</t>
        </r>
        <r>
          <rPr>
            <sz val="9"/>
            <color indexed="81"/>
            <rFont val="Tahoma"/>
            <family val="2"/>
          </rPr>
          <t>included above in floater cost</t>
        </r>
      </text>
    </comment>
    <comment ref="I536" authorId="2" shapeId="0" xr:uid="{00000000-0006-0000-0300-00001B000000}">
      <text>
        <r>
          <rPr>
            <b/>
            <sz val="9"/>
            <color indexed="81"/>
            <rFont val="Tahoma"/>
            <family val="2"/>
          </rPr>
          <t>Iker:</t>
        </r>
        <r>
          <rPr>
            <sz val="9"/>
            <color indexed="81"/>
            <rFont val="Tahoma"/>
            <family val="2"/>
          </rPr>
          <t xml:space="preserve">
from Fabrizio:
68.6 M€ for 175 units park AWES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Fabrizio Nastri</author>
    <author>Fabrizio</author>
    <author>Iker</author>
    <author>Ampyx</author>
  </authors>
  <commentList>
    <comment ref="K8" authorId="0" shapeId="0" xr:uid="{00000000-0006-0000-0400-000001000000}">
      <text>
        <r>
          <rPr>
            <b/>
            <sz val="9"/>
            <color indexed="81"/>
            <rFont val="Tahoma"/>
            <family val="2"/>
          </rPr>
          <t>Fabrizio Nastri:</t>
        </r>
        <r>
          <rPr>
            <sz val="9"/>
            <color indexed="81"/>
            <rFont val="Tahoma"/>
            <family val="2"/>
          </rPr>
          <t xml:space="preserve">
- Akka mass gain only</t>
        </r>
      </text>
    </comment>
    <comment ref="L8" authorId="0" shapeId="0" xr:uid="{00000000-0006-0000-0400-000002000000}">
      <text>
        <r>
          <rPr>
            <b/>
            <sz val="9"/>
            <color indexed="81"/>
            <rFont val="Tahoma"/>
            <family val="2"/>
          </rPr>
          <t>Fabrizio Nastri:</t>
        </r>
        <r>
          <rPr>
            <sz val="9"/>
            <color indexed="81"/>
            <rFont val="Tahoma"/>
            <family val="2"/>
          </rPr>
          <t xml:space="preserve">
- Akka mass gain only</t>
        </r>
      </text>
    </comment>
    <comment ref="M8" authorId="0" shapeId="0" xr:uid="{00000000-0006-0000-0400-000003000000}">
      <text>
        <r>
          <rPr>
            <b/>
            <sz val="9"/>
            <color indexed="81"/>
            <rFont val="Tahoma"/>
            <family val="2"/>
          </rPr>
          <t>Fabrizio Nastri:</t>
        </r>
        <r>
          <rPr>
            <sz val="9"/>
            <color indexed="81"/>
            <rFont val="Tahoma"/>
            <family val="2"/>
          </rPr>
          <t xml:space="preserve">
- Akka mass gain only</t>
        </r>
      </text>
    </comment>
    <comment ref="N8" authorId="0" shapeId="0" xr:uid="{00000000-0006-0000-0400-000004000000}">
      <text>
        <r>
          <rPr>
            <b/>
            <sz val="9"/>
            <color indexed="81"/>
            <rFont val="Tahoma"/>
            <family val="2"/>
          </rPr>
          <t>Fabrizio Nastri:</t>
        </r>
        <r>
          <rPr>
            <sz val="9"/>
            <color indexed="81"/>
            <rFont val="Tahoma"/>
            <family val="2"/>
          </rPr>
          <t xml:space="preserve">
- Akka mass gain only</t>
        </r>
      </text>
    </comment>
    <comment ref="O8" authorId="0" shapeId="0" xr:uid="{00000000-0006-0000-0400-000005000000}">
      <text>
        <r>
          <rPr>
            <b/>
            <sz val="9"/>
            <color indexed="81"/>
            <rFont val="Tahoma"/>
            <family val="2"/>
          </rPr>
          <t>Fabrizio Nastri:</t>
        </r>
        <r>
          <rPr>
            <sz val="9"/>
            <color indexed="81"/>
            <rFont val="Tahoma"/>
            <family val="2"/>
          </rPr>
          <t xml:space="preserve">
- Akka mass gain only</t>
        </r>
      </text>
    </comment>
    <comment ref="P8" authorId="0" shapeId="0" xr:uid="{00000000-0006-0000-0400-000006000000}">
      <text>
        <r>
          <rPr>
            <b/>
            <sz val="9"/>
            <color indexed="81"/>
            <rFont val="Tahoma"/>
            <family val="2"/>
          </rPr>
          <t>Fabrizio Nastri:</t>
        </r>
        <r>
          <rPr>
            <sz val="9"/>
            <color indexed="81"/>
            <rFont val="Tahoma"/>
            <family val="2"/>
          </rPr>
          <t xml:space="preserve">
- Akka mass gain only</t>
        </r>
      </text>
    </comment>
    <comment ref="B12" authorId="1" shapeId="0" xr:uid="{481DF01E-B140-4F36-9B71-AF93D173EF5F}">
      <text>
        <r>
          <rPr>
            <b/>
            <sz val="9"/>
            <color indexed="81"/>
            <rFont val="Tahoma"/>
            <family val="2"/>
          </rPr>
          <t>Fabrizio:</t>
        </r>
        <r>
          <rPr>
            <sz val="9"/>
            <color indexed="81"/>
            <rFont val="Tahoma"/>
            <family val="2"/>
          </rPr>
          <t xml:space="preserve">
Terrain Wind Shear Exponent
Open water 0.100 
"Standard" 0.143 
Smooth, level, grass-covered 0.150 
Pasture/Hay  0.190 
Row crops 0.200 
Low bushes with a few trees 0.200 
Heavy trees 0.250 
Several buildings 0.250 
Hilly, mountainous terrain 0.250 
Mixed Forest  0.430 
</t>
        </r>
      </text>
    </comment>
    <comment ref="O60" authorId="2" shapeId="0" xr:uid="{00000000-0006-0000-0400-000007000000}">
      <text>
        <r>
          <rPr>
            <b/>
            <sz val="9"/>
            <color indexed="81"/>
            <rFont val="Tahoma"/>
            <family val="2"/>
          </rPr>
          <t>Iker:</t>
        </r>
        <r>
          <rPr>
            <sz val="9"/>
            <color indexed="81"/>
            <rFont val="Tahoma"/>
            <family val="2"/>
          </rPr>
          <t xml:space="preserve">
Changed</t>
        </r>
      </text>
    </comment>
    <comment ref="K74" authorId="2" shapeId="0" xr:uid="{00000000-0006-0000-0400-000008000000}">
      <text>
        <r>
          <rPr>
            <b/>
            <sz val="9"/>
            <color indexed="81"/>
            <rFont val="Tahoma"/>
            <family val="2"/>
          </rPr>
          <t>Iker:</t>
        </r>
        <r>
          <rPr>
            <sz val="9"/>
            <color indexed="81"/>
            <rFont val="Tahoma"/>
            <family val="2"/>
          </rPr>
          <t xml:space="preserve">
Changed
</t>
        </r>
      </text>
    </comment>
    <comment ref="K83" authorId="2" shapeId="0" xr:uid="{00000000-0006-0000-0400-000009000000}">
      <text>
        <r>
          <rPr>
            <b/>
            <sz val="9"/>
            <color indexed="81"/>
            <rFont val="Tahoma"/>
            <family val="2"/>
          </rPr>
          <t>Iker:</t>
        </r>
        <r>
          <rPr>
            <sz val="9"/>
            <color indexed="81"/>
            <rFont val="Tahoma"/>
            <family val="2"/>
          </rPr>
          <t xml:space="preserve">
Changed
</t>
        </r>
      </text>
    </comment>
    <comment ref="I91" authorId="2" shapeId="0" xr:uid="{00000000-0006-0000-0400-00000A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J91" authorId="2" shapeId="0" xr:uid="{00000000-0006-0000-0400-00000B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K91" authorId="2" shapeId="0" xr:uid="{00000000-0006-0000-0400-00000C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L91" authorId="2" shapeId="0" xr:uid="{00000000-0006-0000-0400-00000D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M91" authorId="2" shapeId="0" xr:uid="{00000000-0006-0000-0400-00000E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N91" authorId="2" shapeId="0" xr:uid="{00000000-0006-0000-0400-00000F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O91" authorId="2" shapeId="0" xr:uid="{00000000-0006-0000-0400-000010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P91" authorId="2" shapeId="0" xr:uid="{00000000-0006-0000-0400-000011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Q91" authorId="2" shapeId="0" xr:uid="{00000000-0006-0000-0400-000012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R91" authorId="2" shapeId="0" xr:uid="{00000000-0006-0000-0400-000013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S91" authorId="2" shapeId="0" xr:uid="{00000000-0006-0000-0400-000014000000}">
      <text>
        <r>
          <rPr>
            <b/>
            <sz val="9"/>
            <color indexed="81"/>
            <rFont val="Tahoma"/>
            <family val="2"/>
          </rPr>
          <t>Iker:</t>
        </r>
        <r>
          <rPr>
            <sz val="9"/>
            <color indexed="81"/>
            <rFont val="Tahoma"/>
            <family val="2"/>
          </rPr>
          <t xml:space="preserve">
AR of 15 has been used for business plan calculations, but given the approx wingspan and wing area, this aspect ratio is incorrect.</t>
        </r>
      </text>
    </comment>
    <comment ref="D104" authorId="3" shapeId="0" xr:uid="{00000000-0006-0000-0400-000015000000}">
      <text>
        <r>
          <rPr>
            <b/>
            <sz val="9"/>
            <color indexed="81"/>
            <rFont val="Tahoma"/>
            <family val="2"/>
          </rPr>
          <t>Ampyx:</t>
        </r>
        <r>
          <rPr>
            <sz val="9"/>
            <color indexed="81"/>
            <rFont val="Tahoma"/>
            <family val="2"/>
          </rPr>
          <t xml:space="preserve">
only applicable for offshore floating</t>
        </r>
      </text>
    </comment>
    <comment ref="K104" authorId="2" shapeId="0" xr:uid="{00000000-0006-0000-0400-000016000000}">
      <text>
        <r>
          <rPr>
            <b/>
            <sz val="9"/>
            <color indexed="81"/>
            <rFont val="Tahoma"/>
            <family val="2"/>
          </rPr>
          <t>Iker:</t>
        </r>
        <r>
          <rPr>
            <sz val="9"/>
            <color indexed="81"/>
            <rFont val="Tahoma"/>
            <family val="2"/>
          </rPr>
          <t xml:space="preserve">
from Yannan:
cost per floater 3456 k€ per floater for a 2 M€ AWES</t>
        </r>
      </text>
    </comment>
    <comment ref="L104" authorId="2" shapeId="0" xr:uid="{00000000-0006-0000-0400-000017000000}">
      <text>
        <r>
          <rPr>
            <b/>
            <sz val="9"/>
            <color indexed="81"/>
            <rFont val="Tahoma"/>
            <family val="2"/>
          </rPr>
          <t>Iker:</t>
        </r>
        <r>
          <rPr>
            <sz val="9"/>
            <color indexed="81"/>
            <rFont val="Tahoma"/>
            <family val="2"/>
          </rPr>
          <t xml:space="preserve">
from Yannan:
cost per floater 3456 k€ per floater for a 2 M€ AWES</t>
        </r>
      </text>
    </comment>
    <comment ref="K105" authorId="2" shapeId="0" xr:uid="{00000000-0006-0000-0400-000018000000}">
      <text>
        <r>
          <rPr>
            <b/>
            <sz val="9"/>
            <color indexed="81"/>
            <rFont val="Tahoma"/>
            <family val="2"/>
          </rPr>
          <t>Iker:</t>
        </r>
        <r>
          <rPr>
            <sz val="9"/>
            <color indexed="81"/>
            <rFont val="Tahoma"/>
            <family val="2"/>
          </rPr>
          <t xml:space="preserve">
from Yannan:
cost per floater 3456 k€ per floater for a 2 M€ AWES</t>
        </r>
      </text>
    </comment>
    <comment ref="L105" authorId="2" shapeId="0" xr:uid="{00000000-0006-0000-0400-000019000000}">
      <text>
        <r>
          <rPr>
            <b/>
            <sz val="9"/>
            <color indexed="81"/>
            <rFont val="Tahoma"/>
            <family val="2"/>
          </rPr>
          <t>Iker:</t>
        </r>
        <r>
          <rPr>
            <sz val="9"/>
            <color indexed="81"/>
            <rFont val="Tahoma"/>
            <family val="2"/>
          </rPr>
          <t>included above in floater cost</t>
        </r>
      </text>
    </comment>
    <comment ref="M105" authorId="2" shapeId="0" xr:uid="{00000000-0006-0000-0400-00001A000000}">
      <text>
        <r>
          <rPr>
            <b/>
            <sz val="9"/>
            <color indexed="81"/>
            <rFont val="Tahoma"/>
            <family val="2"/>
          </rPr>
          <t>Iker:</t>
        </r>
        <r>
          <rPr>
            <sz val="9"/>
            <color indexed="81"/>
            <rFont val="Tahoma"/>
            <family val="2"/>
          </rPr>
          <t>included above in floater cost</t>
        </r>
      </text>
    </comment>
    <comment ref="N105" authorId="2" shapeId="0" xr:uid="{00000000-0006-0000-0400-00001B000000}">
      <text>
        <r>
          <rPr>
            <b/>
            <sz val="9"/>
            <color indexed="81"/>
            <rFont val="Tahoma"/>
            <family val="2"/>
          </rPr>
          <t>Iker:</t>
        </r>
        <r>
          <rPr>
            <sz val="9"/>
            <color indexed="81"/>
            <rFont val="Tahoma"/>
            <family val="2"/>
          </rPr>
          <t>included above in floater cost</t>
        </r>
      </text>
    </comment>
    <comment ref="O105" authorId="2" shapeId="0" xr:uid="{00000000-0006-0000-0400-00001C000000}">
      <text>
        <r>
          <rPr>
            <b/>
            <sz val="9"/>
            <color indexed="81"/>
            <rFont val="Tahoma"/>
            <family val="2"/>
          </rPr>
          <t>Iker:</t>
        </r>
        <r>
          <rPr>
            <sz val="9"/>
            <color indexed="81"/>
            <rFont val="Tahoma"/>
            <family val="2"/>
          </rPr>
          <t>included above in floater cost</t>
        </r>
      </text>
    </comment>
    <comment ref="P105" authorId="2" shapeId="0" xr:uid="{00000000-0006-0000-0400-00001D000000}">
      <text>
        <r>
          <rPr>
            <b/>
            <sz val="9"/>
            <color indexed="81"/>
            <rFont val="Tahoma"/>
            <family val="2"/>
          </rPr>
          <t>Iker:</t>
        </r>
        <r>
          <rPr>
            <sz val="9"/>
            <color indexed="81"/>
            <rFont val="Tahoma"/>
            <family val="2"/>
          </rPr>
          <t>included above in floater cost</t>
        </r>
      </text>
    </comment>
    <comment ref="Q105" authorId="2" shapeId="0" xr:uid="{00000000-0006-0000-0400-00001E000000}">
      <text>
        <r>
          <rPr>
            <b/>
            <sz val="9"/>
            <color indexed="81"/>
            <rFont val="Tahoma"/>
            <family val="2"/>
          </rPr>
          <t>Iker:</t>
        </r>
        <r>
          <rPr>
            <sz val="9"/>
            <color indexed="81"/>
            <rFont val="Tahoma"/>
            <family val="2"/>
          </rPr>
          <t>included above in floater cost</t>
        </r>
      </text>
    </comment>
    <comment ref="R105" authorId="2" shapeId="0" xr:uid="{00000000-0006-0000-0400-00001F000000}">
      <text>
        <r>
          <rPr>
            <b/>
            <sz val="9"/>
            <color indexed="81"/>
            <rFont val="Tahoma"/>
            <family val="2"/>
          </rPr>
          <t>Iker:</t>
        </r>
        <r>
          <rPr>
            <sz val="9"/>
            <color indexed="81"/>
            <rFont val="Tahoma"/>
            <family val="2"/>
          </rPr>
          <t>included above in floater cost</t>
        </r>
      </text>
    </comment>
    <comment ref="S105" authorId="2" shapeId="0" xr:uid="{00000000-0006-0000-0400-000020000000}">
      <text>
        <r>
          <rPr>
            <b/>
            <sz val="9"/>
            <color indexed="81"/>
            <rFont val="Tahoma"/>
            <family val="2"/>
          </rPr>
          <t>Iker:</t>
        </r>
        <r>
          <rPr>
            <sz val="9"/>
            <color indexed="81"/>
            <rFont val="Tahoma"/>
            <family val="2"/>
          </rPr>
          <t>included above in floater cost</t>
        </r>
      </text>
    </comment>
    <comment ref="L106" authorId="2" shapeId="0" xr:uid="{00000000-0006-0000-0400-000021000000}">
      <text>
        <r>
          <rPr>
            <b/>
            <sz val="9"/>
            <color indexed="81"/>
            <rFont val="Tahoma"/>
            <family val="2"/>
          </rPr>
          <t>Iker:</t>
        </r>
        <r>
          <rPr>
            <sz val="9"/>
            <color indexed="81"/>
            <rFont val="Tahoma"/>
            <family val="2"/>
          </rPr>
          <t xml:space="preserve">
from Fabrizio:
68.6 M€ for 175 units park AWES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Ampyx</author>
  </authors>
  <commentList>
    <comment ref="Z9" authorId="0" shapeId="0" xr:uid="{00000000-0006-0000-0800-000001000000}">
      <text>
        <r>
          <rPr>
            <b/>
            <sz val="9"/>
            <color indexed="81"/>
            <rFont val="Tahoma"/>
            <family val="2"/>
          </rPr>
          <t>Ampyx:</t>
        </r>
        <r>
          <rPr>
            <sz val="9"/>
            <color indexed="81"/>
            <rFont val="Tahoma"/>
            <family val="2"/>
          </rPr>
          <t xml:space="preserve">
The ampyx model breaks down scale factors between unit size, farm size and cumulated experience. In addition, future scenarios take into accoutn technological process.
To estimate the overall scale factor (including all factors), you can manually input the starting and ending points for 2 different scenarios (at same wind speed).</t>
        </r>
      </text>
    </comment>
    <comment ref="X11" authorId="0" shapeId="0" xr:uid="{00000000-0006-0000-0800-000002000000}">
      <text>
        <r>
          <rPr>
            <b/>
            <sz val="9"/>
            <color indexed="81"/>
            <rFont val="Tahoma"/>
            <family val="2"/>
          </rPr>
          <t>Ampyx:</t>
        </r>
        <r>
          <rPr>
            <sz val="9"/>
            <color indexed="81"/>
            <rFont val="Tahoma"/>
            <family val="2"/>
          </rPr>
          <t xml:space="preserve">
Base, 80m2, 10 m/s</t>
        </r>
      </text>
    </comment>
    <comment ref="X12" authorId="0" shapeId="0" xr:uid="{00000000-0006-0000-0800-000003000000}">
      <text>
        <r>
          <rPr>
            <b/>
            <sz val="9"/>
            <color indexed="81"/>
            <rFont val="Tahoma"/>
            <family val="2"/>
          </rPr>
          <t>Ampyx:</t>
        </r>
        <r>
          <rPr>
            <sz val="9"/>
            <color indexed="81"/>
            <rFont val="Tahoma"/>
            <family val="2"/>
          </rPr>
          <t xml:space="preserve">
Best, 250 m/2, 10 m/</t>
        </r>
      </text>
    </comment>
    <comment ref="Z12" authorId="0" shapeId="0" xr:uid="{00000000-0006-0000-0800-000004000000}">
      <text>
        <r>
          <rPr>
            <b/>
            <sz val="9"/>
            <color indexed="81"/>
            <rFont val="Tahoma"/>
            <family val="2"/>
          </rPr>
          <t>Ampyx:</t>
        </r>
        <r>
          <rPr>
            <sz val="9"/>
            <color indexed="81"/>
            <rFont val="Tahoma"/>
            <family val="2"/>
          </rPr>
          <t xml:space="preserve">
F = 10^(log(U)/log(S))  = 10^(log(C)/log(S)-1)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Fabrizio Nastri</author>
    <author>Ampyx</author>
  </authors>
  <commentList>
    <comment ref="R2" authorId="0" shapeId="0" xr:uid="{00000000-0006-0000-0B00-000001000000}">
      <text>
        <r>
          <rPr>
            <b/>
            <sz val="9"/>
            <color indexed="81"/>
            <rFont val="Tahoma"/>
            <family val="2"/>
          </rPr>
          <t>Fabrizio Nastri:</t>
        </r>
        <r>
          <rPr>
            <sz val="9"/>
            <color indexed="81"/>
            <rFont val="Tahoma"/>
            <family val="2"/>
          </rPr>
          <t xml:space="preserve">
this refers to the size of hte plane we are developing</t>
        </r>
      </text>
    </comment>
    <comment ref="T2" authorId="0" shapeId="0" xr:uid="{00000000-0006-0000-0B00-000002000000}">
      <text>
        <r>
          <rPr>
            <b/>
            <sz val="9"/>
            <color indexed="81"/>
            <rFont val="Tahoma"/>
            <family val="2"/>
          </rPr>
          <t>Fabrizio Nastri:</t>
        </r>
        <r>
          <rPr>
            <sz val="9"/>
            <color indexed="81"/>
            <rFont val="Tahoma"/>
            <family val="2"/>
          </rPr>
          <t xml:space="preserve">
this refers to the number of prototypes we want to build:
- 10% means total cost is fixed
- 100% means unit cost is constant
- 80% means unit costs decreases by 20% if we build 10 prototypes.</t>
        </r>
      </text>
    </comment>
    <comment ref="P6" authorId="1" shapeId="0" xr:uid="{00000000-0006-0000-0B00-000003000000}">
      <text>
        <r>
          <rPr>
            <b/>
            <sz val="9"/>
            <color indexed="81"/>
            <rFont val="Tahoma"/>
            <family val="2"/>
          </rPr>
          <t>Ampyx:</t>
        </r>
        <r>
          <rPr>
            <sz val="9"/>
            <color indexed="81"/>
            <rFont val="Tahoma"/>
            <family val="2"/>
          </rPr>
          <t xml:space="preserve">
this is the reference scenario</t>
        </r>
      </text>
    </comment>
    <comment ref="Q6" authorId="1" shapeId="0" xr:uid="{00000000-0006-0000-0B00-000004000000}">
      <text>
        <r>
          <rPr>
            <b/>
            <sz val="9"/>
            <color indexed="81"/>
            <rFont val="Tahoma"/>
            <family val="2"/>
          </rPr>
          <t>Ampyx:</t>
        </r>
        <r>
          <rPr>
            <sz val="9"/>
            <color indexed="81"/>
            <rFont val="Tahoma"/>
            <family val="2"/>
          </rPr>
          <t xml:space="preserve">
this scenario has been created to estimate the scale factor</t>
        </r>
      </text>
    </comment>
    <comment ref="F12" authorId="0" shapeId="0" xr:uid="{00000000-0006-0000-0B00-000005000000}">
      <text>
        <r>
          <rPr>
            <b/>
            <sz val="9"/>
            <color indexed="81"/>
            <rFont val="Tahoma"/>
            <family val="2"/>
          </rPr>
          <t>Fabrizio Nastri:</t>
        </r>
        <r>
          <rPr>
            <sz val="9"/>
            <color indexed="81"/>
            <rFont val="Tahoma"/>
            <family val="2"/>
          </rPr>
          <t xml:space="preserve">
Ted McKay</t>
        </r>
      </text>
    </comment>
    <comment ref="F13" authorId="0" shapeId="0" xr:uid="{00000000-0006-0000-0B00-000006000000}">
      <text>
        <r>
          <rPr>
            <b/>
            <sz val="9"/>
            <color indexed="81"/>
            <rFont val="Tahoma"/>
            <family val="2"/>
          </rPr>
          <t>Fabrizio Nastri:</t>
        </r>
        <r>
          <rPr>
            <sz val="9"/>
            <color indexed="81"/>
            <rFont val="Tahoma"/>
            <family val="2"/>
          </rPr>
          <t xml:space="preserve">
Fokker could do this - wiring</t>
        </r>
      </text>
    </comment>
    <comment ref="F24" authorId="0" shapeId="0" xr:uid="{00000000-0006-0000-0B00-000007000000}">
      <text>
        <r>
          <rPr>
            <b/>
            <sz val="9"/>
            <color indexed="81"/>
            <rFont val="Tahoma"/>
            <family val="2"/>
          </rPr>
          <t>Fabrizio Nastri:</t>
        </r>
        <r>
          <rPr>
            <sz val="9"/>
            <color indexed="81"/>
            <rFont val="Tahoma"/>
            <family val="2"/>
          </rPr>
          <t xml:space="preserve">
Ted McKay</t>
        </r>
      </text>
    </comment>
    <comment ref="F25" authorId="0" shapeId="0" xr:uid="{00000000-0006-0000-0B00-000008000000}">
      <text>
        <r>
          <rPr>
            <b/>
            <sz val="9"/>
            <color indexed="81"/>
            <rFont val="Tahoma"/>
            <family val="2"/>
          </rPr>
          <t>Fabrizio Nastri:</t>
        </r>
        <r>
          <rPr>
            <sz val="9"/>
            <color indexed="81"/>
            <rFont val="Tahoma"/>
            <family val="2"/>
          </rPr>
          <t xml:space="preserve">
Fokker could do this - wiring</t>
        </r>
      </text>
    </comment>
    <comment ref="F68" authorId="0" shapeId="0" xr:uid="{00000000-0006-0000-0B00-000009000000}">
      <text>
        <r>
          <rPr>
            <b/>
            <sz val="9"/>
            <color indexed="81"/>
            <rFont val="Tahoma"/>
            <family val="2"/>
          </rPr>
          <t>Fabrizio Nastri:</t>
        </r>
        <r>
          <rPr>
            <sz val="9"/>
            <color indexed="81"/>
            <rFont val="Tahoma"/>
            <family val="2"/>
          </rPr>
          <t xml:space="preserve">
printed circuit board  assembly (PCBA)</t>
        </r>
      </text>
    </comment>
    <comment ref="F72" authorId="0" shapeId="0" xr:uid="{00000000-0006-0000-0B00-00000A000000}">
      <text>
        <r>
          <rPr>
            <b/>
            <sz val="9"/>
            <color indexed="81"/>
            <rFont val="Tahoma"/>
            <family val="2"/>
          </rPr>
          <t>Fabrizio Nastri:</t>
        </r>
        <r>
          <rPr>
            <sz val="9"/>
            <color indexed="81"/>
            <rFont val="Tahoma"/>
            <family val="2"/>
          </rPr>
          <t xml:space="preserve">
inertia measurement unit</t>
        </r>
      </text>
    </comment>
    <comment ref="F73" authorId="0" shapeId="0" xr:uid="{00000000-0006-0000-0B00-00000B000000}">
      <text>
        <r>
          <rPr>
            <b/>
            <sz val="9"/>
            <color indexed="81"/>
            <rFont val="Tahoma"/>
            <family val="2"/>
          </rPr>
          <t>Fabrizio Nastri:</t>
        </r>
        <r>
          <rPr>
            <sz val="9"/>
            <color indexed="81"/>
            <rFont val="Tahoma"/>
            <family val="2"/>
          </rPr>
          <t xml:space="preserve">
global navigation satellite system</t>
        </r>
      </text>
    </comment>
    <comment ref="F79" authorId="0" shapeId="0" xr:uid="{00000000-0006-0000-0B00-00000C000000}">
      <text>
        <r>
          <rPr>
            <b/>
            <sz val="9"/>
            <color indexed="81"/>
            <rFont val="Tahoma"/>
            <family val="2"/>
          </rPr>
          <t>Fabrizio Nastri:</t>
        </r>
        <r>
          <rPr>
            <sz val="9"/>
            <color indexed="81"/>
            <rFont val="Tahoma"/>
            <family val="2"/>
          </rPr>
          <t xml:space="preserve">
Hardware in the loop</t>
        </r>
      </text>
    </comment>
    <comment ref="E88" authorId="0" shapeId="0" xr:uid="{00000000-0006-0000-0B00-00000D000000}">
      <text>
        <r>
          <rPr>
            <b/>
            <sz val="9"/>
            <color indexed="81"/>
            <rFont val="Tahoma"/>
            <family val="2"/>
          </rPr>
          <t>Fabrizio Nastri:</t>
        </r>
        <r>
          <rPr>
            <sz val="9"/>
            <color indexed="81"/>
            <rFont val="Tahoma"/>
            <family val="2"/>
          </rPr>
          <t xml:space="preserve">
Dust
Icing
Temperature
Lightning
Corrosion etc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Fabrizio Nastri</author>
    <author>Ampyx</author>
    <author>Iker</author>
  </authors>
  <commentList>
    <comment ref="P9" authorId="0" shapeId="0" xr:uid="{00000000-0006-0000-0C00-000001000000}">
      <text>
        <r>
          <rPr>
            <b/>
            <sz val="9"/>
            <color indexed="81"/>
            <rFont val="Tahoma"/>
            <family val="2"/>
          </rPr>
          <t>Fabrizio Nastri:</t>
        </r>
        <r>
          <rPr>
            <sz val="9"/>
            <color indexed="81"/>
            <rFont val="Tahoma"/>
            <family val="2"/>
          </rPr>
          <t xml:space="preserve">
we (Yannan + Fabrizio → she's part of this …) introduced a 80% scale factor every where based on the original 90m2 plane Capex estimate. We now need to review one by one these factors.</t>
        </r>
      </text>
    </comment>
    <comment ref="Q9" authorId="0" shapeId="0" xr:uid="{00000000-0006-0000-0C00-000002000000}">
      <text>
        <r>
          <rPr>
            <b/>
            <sz val="9"/>
            <color indexed="81"/>
            <rFont val="Tahoma"/>
            <family val="2"/>
          </rPr>
          <t>Fabrizio Nastri:</t>
        </r>
        <r>
          <rPr>
            <sz val="9"/>
            <color indexed="81"/>
            <rFont val="Tahoma"/>
            <family val="2"/>
          </rPr>
          <t xml:space="preserve">
should we integrate a scale factor in the unit price ?</t>
        </r>
      </text>
    </comment>
    <comment ref="R9" authorId="1" shapeId="0" xr:uid="{00000000-0006-0000-0C00-000003000000}">
      <text>
        <r>
          <rPr>
            <b/>
            <sz val="9"/>
            <color indexed="81"/>
            <rFont val="Tahoma"/>
            <family val="2"/>
          </rPr>
          <t>Ampyx:</t>
        </r>
        <r>
          <rPr>
            <sz val="9"/>
            <color indexed="81"/>
            <rFont val="Tahoma"/>
            <family val="2"/>
          </rPr>
          <t xml:space="preserve">
Price = Po × F^Log(relSize) = Po × relSize^log(F)</t>
        </r>
      </text>
    </comment>
    <comment ref="M45" authorId="1" shapeId="0" xr:uid="{00000000-0006-0000-0C00-000004000000}">
      <text>
        <r>
          <rPr>
            <b/>
            <sz val="9"/>
            <color indexed="81"/>
            <rFont val="Tahoma"/>
            <family val="2"/>
          </rPr>
          <t>Ampyx:</t>
        </r>
        <r>
          <rPr>
            <sz val="9"/>
            <color indexed="81"/>
            <rFont val="Tahoma"/>
            <family val="2"/>
          </rPr>
          <t xml:space="preserve">
Tmax_p in reference scenario</t>
        </r>
      </text>
    </comment>
    <comment ref="B51" authorId="0" shapeId="0" xr:uid="{00000000-0006-0000-0C00-000005000000}">
      <text>
        <r>
          <rPr>
            <b/>
            <sz val="9"/>
            <color indexed="81"/>
            <rFont val="Tahoma"/>
            <family val="2"/>
          </rPr>
          <t>Fabrizio Nastri:</t>
        </r>
        <r>
          <rPr>
            <sz val="9"/>
            <color indexed="81"/>
            <rFont val="Tahoma"/>
            <family val="2"/>
          </rPr>
          <t xml:space="preserve">
every thing else</t>
        </r>
      </text>
    </comment>
    <comment ref="C51" authorId="0" shapeId="0" xr:uid="{00000000-0006-0000-0C00-000006000000}">
      <text>
        <r>
          <rPr>
            <b/>
            <sz val="9"/>
            <color indexed="81"/>
            <rFont val="Tahoma"/>
            <family val="2"/>
          </rPr>
          <t>Fabrizio Nastri:</t>
        </r>
        <r>
          <rPr>
            <sz val="9"/>
            <color indexed="81"/>
            <rFont val="Tahoma"/>
            <family val="2"/>
          </rPr>
          <t xml:space="preserve">
every thing else</t>
        </r>
      </text>
    </comment>
    <comment ref="N64" authorId="0" shapeId="0" xr:uid="{00000000-0006-0000-0C00-000007000000}">
      <text>
        <r>
          <rPr>
            <b/>
            <sz val="9"/>
            <color indexed="81"/>
            <rFont val="Tahoma"/>
            <family val="2"/>
          </rPr>
          <t>Michiel Kruijk
THIS IS MATURE VALUE. INITIAL IS DOUBLE</t>
        </r>
      </text>
    </comment>
    <comment ref="P77" authorId="0" shapeId="0" xr:uid="{00000000-0006-0000-0C00-000008000000}">
      <text>
        <r>
          <rPr>
            <b/>
            <sz val="9"/>
            <color indexed="81"/>
            <rFont val="Tahoma"/>
            <family val="2"/>
          </rPr>
          <t>Fabrizio Nastri:</t>
        </r>
        <r>
          <rPr>
            <sz val="9"/>
            <color indexed="81"/>
            <rFont val="Tahoma"/>
            <family val="2"/>
          </rPr>
          <t xml:space="preserve">
we (Yannan + Fabrizio → she's part of this …) introduced a 80% scale factor every where based on the original 90m2 plane Capex estimate. We now need to review one by one these factors.</t>
        </r>
      </text>
    </comment>
    <comment ref="Q77" authorId="0" shapeId="0" xr:uid="{00000000-0006-0000-0C00-000009000000}">
      <text>
        <r>
          <rPr>
            <b/>
            <sz val="9"/>
            <color indexed="81"/>
            <rFont val="Tahoma"/>
            <family val="2"/>
          </rPr>
          <t>Fabrizio Nastri:</t>
        </r>
        <r>
          <rPr>
            <sz val="9"/>
            <color indexed="81"/>
            <rFont val="Tahoma"/>
            <family val="2"/>
          </rPr>
          <t xml:space="preserve">
should we integrate a scale factor in the unit price ?</t>
        </r>
      </text>
    </comment>
    <comment ref="R77" authorId="1" shapeId="0" xr:uid="{00000000-0006-0000-0C00-00000A000000}">
      <text>
        <r>
          <rPr>
            <b/>
            <sz val="9"/>
            <color indexed="81"/>
            <rFont val="Tahoma"/>
            <family val="2"/>
          </rPr>
          <t>Ampyx:</t>
        </r>
        <r>
          <rPr>
            <sz val="9"/>
            <color indexed="81"/>
            <rFont val="Tahoma"/>
            <family val="2"/>
          </rPr>
          <t xml:space="preserve">
Price = Po × F^Log(relSize) = Po × relSize^log(F)</t>
        </r>
      </text>
    </comment>
    <comment ref="N82" authorId="0" shapeId="0" xr:uid="{00000000-0006-0000-0C00-00000B000000}">
      <text>
        <r>
          <rPr>
            <b/>
            <sz val="9"/>
            <color indexed="81"/>
            <rFont val="Tahoma"/>
            <family val="2"/>
          </rPr>
          <t>Fabrizio Nastri:</t>
        </r>
        <r>
          <rPr>
            <sz val="9"/>
            <color indexed="81"/>
            <rFont val="Tahoma"/>
            <family val="2"/>
          </rPr>
          <t xml:space="preserve">
land inefficiency, system packing perSqLength is 1 for innitial, 2.7 for final (narrow pattern of 50% sync)</t>
        </r>
      </text>
    </comment>
    <comment ref="Q84" authorId="0" shapeId="0" xr:uid="{00000000-0006-0000-0C00-00000C000000}">
      <text>
        <r>
          <rPr>
            <b/>
            <sz val="9"/>
            <color indexed="81"/>
            <rFont val="Tahoma"/>
            <family val="2"/>
          </rPr>
          <t>Fabrizio Nastri:</t>
        </r>
        <r>
          <rPr>
            <sz val="9"/>
            <color indexed="81"/>
            <rFont val="Tahoma"/>
            <family val="2"/>
          </rPr>
          <t xml:space="preserve">
Assumed same cost for repowering and greenfield</t>
        </r>
      </text>
    </comment>
    <comment ref="N88" authorId="0" shapeId="0" xr:uid="{00000000-0006-0000-0C00-00000D000000}">
      <text>
        <r>
          <rPr>
            <b/>
            <sz val="9"/>
            <color indexed="81"/>
            <rFont val="Tahoma"/>
            <family val="2"/>
          </rPr>
          <t>Fabrizio Nastri:</t>
        </r>
        <r>
          <rPr>
            <sz val="9"/>
            <color indexed="81"/>
            <rFont val="Tahoma"/>
            <family val="2"/>
          </rPr>
          <t xml:space="preserve">
nr of units or park power ? 
Yannan: it should also scale with AWES size, I made it fixed + variable</t>
        </r>
      </text>
    </comment>
    <comment ref="P101" authorId="0" shapeId="0" xr:uid="{00000000-0006-0000-0C00-00000E000000}">
      <text>
        <r>
          <rPr>
            <b/>
            <sz val="9"/>
            <color indexed="81"/>
            <rFont val="Tahoma"/>
            <family val="2"/>
          </rPr>
          <t>Fabrizio Nastri:</t>
        </r>
        <r>
          <rPr>
            <sz val="9"/>
            <color indexed="81"/>
            <rFont val="Tahoma"/>
            <family val="2"/>
          </rPr>
          <t xml:space="preserve">
we (Yannan + Fabrizio → she's part of this …) introduced a 80% scale factor every where based on the original 90m2 plane Capex estimate. We now need to review one by one these factors.</t>
        </r>
      </text>
    </comment>
    <comment ref="Q101" authorId="0" shapeId="0" xr:uid="{00000000-0006-0000-0C00-00000F000000}">
      <text>
        <r>
          <rPr>
            <b/>
            <sz val="9"/>
            <color indexed="81"/>
            <rFont val="Tahoma"/>
            <family val="2"/>
          </rPr>
          <t>Fabrizio Nastri:</t>
        </r>
        <r>
          <rPr>
            <sz val="9"/>
            <color indexed="81"/>
            <rFont val="Tahoma"/>
            <family val="2"/>
          </rPr>
          <t xml:space="preserve">
should we integrate a scale factor in the unit price ?</t>
        </r>
      </text>
    </comment>
    <comment ref="R101" authorId="1" shapeId="0" xr:uid="{00000000-0006-0000-0C00-000010000000}">
      <text>
        <r>
          <rPr>
            <b/>
            <sz val="9"/>
            <color indexed="81"/>
            <rFont val="Tahoma"/>
            <family val="2"/>
          </rPr>
          <t>Ampyx:</t>
        </r>
        <r>
          <rPr>
            <sz val="9"/>
            <color indexed="81"/>
            <rFont val="Tahoma"/>
            <family val="2"/>
          </rPr>
          <t xml:space="preserve">
Price = Po × F^Log(relSize) = Po × relSize^log(F)</t>
        </r>
      </text>
    </comment>
    <comment ref="Q108" authorId="0" shapeId="0" xr:uid="{00000000-0006-0000-0C00-000011000000}">
      <text>
        <r>
          <rPr>
            <b/>
            <sz val="9"/>
            <color indexed="81"/>
            <rFont val="Tahoma"/>
            <family val="2"/>
          </rPr>
          <t>Fabrizio Nastri:</t>
        </r>
        <r>
          <rPr>
            <sz val="9"/>
            <color indexed="81"/>
            <rFont val="Tahoma"/>
            <family val="2"/>
          </rPr>
          <t xml:space="preserve">
assumed same cost for repowering and greenfield</t>
        </r>
      </text>
    </comment>
    <comment ref="P112" authorId="1" shapeId="0" xr:uid="{00000000-0006-0000-0C00-000012000000}">
      <text>
        <r>
          <rPr>
            <b/>
            <sz val="9"/>
            <color indexed="81"/>
            <rFont val="Tahoma"/>
            <family val="2"/>
          </rPr>
          <t>Ampyx:</t>
        </r>
        <r>
          <rPr>
            <sz val="9"/>
            <color indexed="81"/>
            <rFont val="Tahoma"/>
            <family val="2"/>
          </rPr>
          <t xml:space="preserve">
80% scale factor on farm size according to NOV</t>
        </r>
      </text>
    </comment>
    <comment ref="Q112" authorId="1" shapeId="0" xr:uid="{00000000-0006-0000-0C00-000013000000}">
      <text>
        <r>
          <rPr>
            <b/>
            <sz val="9"/>
            <color indexed="81"/>
            <rFont val="Tahoma"/>
            <family val="2"/>
          </rPr>
          <t>Ampyx:</t>
        </r>
        <r>
          <rPr>
            <sz val="9"/>
            <color indexed="81"/>
            <rFont val="Tahoma"/>
            <family val="2"/>
          </rPr>
          <t xml:space="preserve">
Assumption : fixed structure = 50% of floater.</t>
        </r>
      </text>
    </comment>
    <comment ref="W112" authorId="1" shapeId="0" xr:uid="{00000000-0006-0000-0C00-000014000000}">
      <text>
        <r>
          <rPr>
            <b/>
            <sz val="9"/>
            <color indexed="81"/>
            <rFont val="Tahoma"/>
            <family val="2"/>
          </rPr>
          <t>Ampyx:</t>
        </r>
        <r>
          <rPr>
            <sz val="9"/>
            <color indexed="81"/>
            <rFont val="Tahoma"/>
            <family val="2"/>
          </rPr>
          <t xml:space="preserve">
offshore units only</t>
        </r>
      </text>
    </comment>
    <comment ref="I113" authorId="2" shapeId="0" xr:uid="{00000000-0006-0000-0C00-000015000000}">
      <text>
        <r>
          <rPr>
            <b/>
            <sz val="9"/>
            <color indexed="81"/>
            <rFont val="Tahoma"/>
            <family val="2"/>
          </rPr>
          <t>Iker:</t>
        </r>
        <r>
          <rPr>
            <sz val="9"/>
            <color indexed="81"/>
            <rFont val="Tahoma"/>
            <family val="2"/>
          </rPr>
          <t xml:space="preserve">
NOV number, for 1 unit of 5 MW</t>
        </r>
      </text>
    </comment>
    <comment ref="J113" authorId="1" shapeId="0" xr:uid="{00000000-0006-0000-0C00-000016000000}">
      <text>
        <r>
          <rPr>
            <b/>
            <sz val="9"/>
            <color indexed="81"/>
            <rFont val="Tahoma"/>
            <family val="2"/>
          </rPr>
          <t>Ampyx:</t>
        </r>
        <r>
          <rPr>
            <sz val="9"/>
            <color indexed="81"/>
            <rFont val="Tahoma"/>
            <family val="2"/>
          </rPr>
          <t xml:space="preserve">
this is the scaling formla for total cost, not for unit cost</t>
        </r>
      </text>
    </comment>
    <comment ref="P113" authorId="1" shapeId="0" xr:uid="{00000000-0006-0000-0C00-000017000000}">
      <text>
        <r>
          <rPr>
            <b/>
            <sz val="9"/>
            <color indexed="81"/>
            <rFont val="Tahoma"/>
            <family val="2"/>
          </rPr>
          <t>Ampyx:</t>
        </r>
        <r>
          <rPr>
            <sz val="9"/>
            <color indexed="81"/>
            <rFont val="Tahoma"/>
            <family val="2"/>
          </rPr>
          <t xml:space="preserve">
80% scale factor on farm size according to NOV</t>
        </r>
      </text>
    </comment>
    <comment ref="Q113" authorId="2" shapeId="0" xr:uid="{00000000-0006-0000-0C00-000018000000}">
      <text>
        <r>
          <rPr>
            <b/>
            <sz val="9"/>
            <color indexed="81"/>
            <rFont val="Tahoma"/>
            <family val="2"/>
          </rPr>
          <t>Iker:</t>
        </r>
        <r>
          <rPr>
            <sz val="9"/>
            <color indexed="81"/>
            <rFont val="Tahoma"/>
            <family val="2"/>
          </rPr>
          <t xml:space="preserve">
NOV number, for 1 unit of 5 MW</t>
        </r>
      </text>
    </comment>
    <comment ref="I114" authorId="2" shapeId="0" xr:uid="{00000000-0006-0000-0C00-000019000000}">
      <text>
        <r>
          <rPr>
            <b/>
            <sz val="9"/>
            <color indexed="81"/>
            <rFont val="Tahoma"/>
            <family val="2"/>
          </rPr>
          <t>Iker:</t>
        </r>
        <r>
          <rPr>
            <sz val="9"/>
            <color indexed="81"/>
            <rFont val="Tahoma"/>
            <family val="2"/>
          </rPr>
          <t xml:space="preserve">
NOV number, for 1 unit of 5 MW</t>
        </r>
      </text>
    </comment>
    <comment ref="J114" authorId="1" shapeId="0" xr:uid="{00000000-0006-0000-0C00-00001A000000}">
      <text>
        <r>
          <rPr>
            <b/>
            <sz val="9"/>
            <color indexed="81"/>
            <rFont val="Tahoma"/>
            <family val="2"/>
          </rPr>
          <t>Ampyx:</t>
        </r>
        <r>
          <rPr>
            <sz val="9"/>
            <color indexed="81"/>
            <rFont val="Tahoma"/>
            <family val="2"/>
          </rPr>
          <t xml:space="preserve">
this is the scaling formla for total cost, not for unit cost</t>
        </r>
      </text>
    </comment>
    <comment ref="P114" authorId="1" shapeId="0" xr:uid="{00000000-0006-0000-0C00-00001B000000}">
      <text>
        <r>
          <rPr>
            <b/>
            <sz val="9"/>
            <color indexed="81"/>
            <rFont val="Tahoma"/>
            <family val="2"/>
          </rPr>
          <t>Ampyx:</t>
        </r>
        <r>
          <rPr>
            <sz val="9"/>
            <color indexed="81"/>
            <rFont val="Tahoma"/>
            <family val="2"/>
          </rPr>
          <t xml:space="preserve">
80% scale factor on farm size according to NOV</t>
        </r>
      </text>
    </comment>
    <comment ref="Q114" authorId="2" shapeId="0" xr:uid="{00000000-0006-0000-0C00-00001C000000}">
      <text>
        <r>
          <rPr>
            <b/>
            <sz val="9"/>
            <color indexed="81"/>
            <rFont val="Tahoma"/>
            <family val="2"/>
          </rPr>
          <t>Iker:</t>
        </r>
        <r>
          <rPr>
            <sz val="9"/>
            <color indexed="81"/>
            <rFont val="Tahoma"/>
            <family val="2"/>
          </rPr>
          <t xml:space="preserve">
NOV number, for 1 unit of 5 MW
if repowering, save 2/3 of the costs</t>
        </r>
      </text>
    </comment>
    <comment ref="I117" authorId="2" shapeId="0" xr:uid="{00000000-0006-0000-0C00-00001D000000}">
      <text>
        <r>
          <rPr>
            <b/>
            <sz val="9"/>
            <color indexed="81"/>
            <rFont val="Tahoma"/>
            <family val="2"/>
          </rPr>
          <t>Iker:</t>
        </r>
        <r>
          <rPr>
            <sz val="9"/>
            <color indexed="81"/>
            <rFont val="Tahoma"/>
            <family val="2"/>
          </rPr>
          <t xml:space="preserve">
NOV number, for 1 unit of 5 MW</t>
        </r>
      </text>
    </comment>
    <comment ref="J117" authorId="1" shapeId="0" xr:uid="{00000000-0006-0000-0C00-00001E000000}">
      <text>
        <r>
          <rPr>
            <b/>
            <sz val="9"/>
            <color indexed="81"/>
            <rFont val="Tahoma"/>
            <family val="2"/>
          </rPr>
          <t>Ampyx:</t>
        </r>
        <r>
          <rPr>
            <sz val="9"/>
            <color indexed="81"/>
            <rFont val="Tahoma"/>
            <family val="2"/>
          </rPr>
          <t xml:space="preserve">
this is the scaling formla for total cost, not for unit cost</t>
        </r>
      </text>
    </comment>
    <comment ref="P117" authorId="1" shapeId="0" xr:uid="{00000000-0006-0000-0C00-00001F000000}">
      <text>
        <r>
          <rPr>
            <b/>
            <sz val="9"/>
            <color indexed="81"/>
            <rFont val="Tahoma"/>
            <family val="2"/>
          </rPr>
          <t>Ampyx:</t>
        </r>
        <r>
          <rPr>
            <sz val="9"/>
            <color indexed="81"/>
            <rFont val="Tahoma"/>
            <family val="2"/>
          </rPr>
          <t xml:space="preserve">
80% scale factor on farm size according to NOV</t>
        </r>
      </text>
    </comment>
    <comment ref="Q117" authorId="2" shapeId="0" xr:uid="{00000000-0006-0000-0C00-000020000000}">
      <text>
        <r>
          <rPr>
            <b/>
            <sz val="9"/>
            <color indexed="81"/>
            <rFont val="Tahoma"/>
            <family val="2"/>
          </rPr>
          <t>Iker:</t>
        </r>
        <r>
          <rPr>
            <sz val="9"/>
            <color indexed="81"/>
            <rFont val="Tahoma"/>
            <family val="2"/>
          </rPr>
          <t xml:space="preserve">
NOV number, for 1 unit of 5 MW</t>
        </r>
      </text>
    </comment>
    <comment ref="P169" authorId="0" shapeId="0" xr:uid="{00000000-0006-0000-0C00-000021000000}">
      <text>
        <r>
          <rPr>
            <b/>
            <sz val="9"/>
            <color indexed="81"/>
            <rFont val="Tahoma"/>
            <family val="2"/>
          </rPr>
          <t>Fabrizio Nastri:</t>
        </r>
        <r>
          <rPr>
            <sz val="9"/>
            <color indexed="81"/>
            <rFont val="Tahoma"/>
            <family val="2"/>
          </rPr>
          <t xml:space="preserve">
we (Yannan + Fabrizio → she's part of this …) introduced a 80% scale factor every where based on the original 90m2 plane Capex estimate. We now need to review one by one these factors.</t>
        </r>
      </text>
    </comment>
    <comment ref="Q169" authorId="0" shapeId="0" xr:uid="{00000000-0006-0000-0C00-000022000000}">
      <text>
        <r>
          <rPr>
            <b/>
            <sz val="9"/>
            <color indexed="81"/>
            <rFont val="Tahoma"/>
            <family val="2"/>
          </rPr>
          <t>Fabrizio Nastri:</t>
        </r>
        <r>
          <rPr>
            <sz val="9"/>
            <color indexed="81"/>
            <rFont val="Tahoma"/>
            <family val="2"/>
          </rPr>
          <t xml:space="preserve">
should we integrate a scale factor in the unit price ?</t>
        </r>
      </text>
    </comment>
    <comment ref="R169" authorId="1" shapeId="0" xr:uid="{00000000-0006-0000-0C00-000023000000}">
      <text>
        <r>
          <rPr>
            <b/>
            <sz val="9"/>
            <color indexed="81"/>
            <rFont val="Tahoma"/>
            <family val="2"/>
          </rPr>
          <t>Ampyx:</t>
        </r>
        <r>
          <rPr>
            <sz val="9"/>
            <color indexed="81"/>
            <rFont val="Tahoma"/>
            <family val="2"/>
          </rPr>
          <t xml:space="preserve">
Price = Po × F^Log(relSize) = Po × relSize^log(F)</t>
        </r>
      </text>
    </comment>
    <comment ref="Q172" authorId="1" shapeId="0" xr:uid="{00000000-0006-0000-0C00-000024000000}">
      <text>
        <r>
          <rPr>
            <b/>
            <sz val="9"/>
            <color indexed="81"/>
            <rFont val="Tahoma"/>
            <family val="2"/>
          </rPr>
          <t>Ampyx:</t>
        </r>
        <r>
          <rPr>
            <sz val="9"/>
            <color indexed="81"/>
            <rFont val="Tahoma"/>
            <family val="2"/>
          </rPr>
          <t xml:space="preserve">
only for onshore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Fabrizio Nastri</author>
    <author>Iker</author>
  </authors>
  <commentList>
    <comment ref="B9" authorId="0" shapeId="0" xr:uid="{00000000-0006-0000-0D00-000001000000}">
      <text>
        <r>
          <rPr>
            <b/>
            <sz val="9"/>
            <color indexed="81"/>
            <rFont val="Tahoma"/>
            <family val="2"/>
          </rPr>
          <t>Fabrizio Nastri:</t>
        </r>
        <r>
          <rPr>
            <sz val="9"/>
            <color indexed="81"/>
            <rFont val="Tahoma"/>
            <family val="2"/>
          </rPr>
          <t xml:space="preserve">
please provide units</t>
        </r>
      </text>
    </comment>
    <comment ref="C18" authorId="1" shapeId="0" xr:uid="{00000000-0006-0000-0D00-000002000000}">
      <text>
        <r>
          <rPr>
            <b/>
            <sz val="9"/>
            <color indexed="81"/>
            <rFont val="Tahoma"/>
            <family val="2"/>
          </rPr>
          <t>Iker:</t>
        </r>
        <r>
          <rPr>
            <sz val="9"/>
            <color indexed="81"/>
            <rFont val="Tahoma"/>
            <family val="2"/>
          </rPr>
          <t xml:space="preserve">
Tasks are not paralelized</t>
        </r>
      </text>
    </comment>
    <comment ref="B28" authorId="0" shapeId="0" xr:uid="{00000000-0006-0000-0D00-000003000000}">
      <text>
        <r>
          <rPr>
            <b/>
            <sz val="9"/>
            <color indexed="81"/>
            <rFont val="Tahoma"/>
            <family val="2"/>
          </rPr>
          <t>Fabrizio Nastri:</t>
        </r>
        <r>
          <rPr>
            <sz val="9"/>
            <color indexed="81"/>
            <rFont val="Tahoma"/>
            <family val="2"/>
          </rPr>
          <t xml:space="preserve">
please provide units</t>
        </r>
      </text>
    </comment>
    <comment ref="B29" authorId="0" shapeId="0" xr:uid="{00000000-0006-0000-0D00-000004000000}">
      <text>
        <r>
          <rPr>
            <b/>
            <sz val="9"/>
            <color indexed="81"/>
            <rFont val="Tahoma"/>
            <family val="2"/>
          </rPr>
          <t>Fabrizio Nastri:</t>
        </r>
        <r>
          <rPr>
            <sz val="9"/>
            <color indexed="81"/>
            <rFont val="Tahoma"/>
            <family val="2"/>
          </rPr>
          <t xml:space="preserve">
please provide units</t>
        </r>
      </text>
    </comment>
    <comment ref="B30" authorId="0" shapeId="0" xr:uid="{00000000-0006-0000-0D00-000005000000}">
      <text>
        <r>
          <rPr>
            <b/>
            <sz val="9"/>
            <color indexed="81"/>
            <rFont val="Tahoma"/>
            <family val="2"/>
          </rPr>
          <t>Fabrizio Nastri:</t>
        </r>
        <r>
          <rPr>
            <sz val="9"/>
            <color indexed="81"/>
            <rFont val="Tahoma"/>
            <family val="2"/>
          </rPr>
          <t xml:space="preserve">
please provide units</t>
        </r>
      </text>
    </comment>
    <comment ref="B31" authorId="0" shapeId="0" xr:uid="{00000000-0006-0000-0D00-000006000000}">
      <text>
        <r>
          <rPr>
            <b/>
            <sz val="9"/>
            <color indexed="81"/>
            <rFont val="Tahoma"/>
            <family val="2"/>
          </rPr>
          <t>Fabrizio Nastri:</t>
        </r>
        <r>
          <rPr>
            <sz val="9"/>
            <color indexed="81"/>
            <rFont val="Tahoma"/>
            <family val="2"/>
          </rPr>
          <t xml:space="preserve">
please provide units</t>
        </r>
      </text>
    </comment>
    <comment ref="B32" authorId="0" shapeId="0" xr:uid="{00000000-0006-0000-0D00-000007000000}">
      <text>
        <r>
          <rPr>
            <b/>
            <sz val="9"/>
            <color indexed="81"/>
            <rFont val="Tahoma"/>
            <family val="2"/>
          </rPr>
          <t>Fabrizio Nastri:</t>
        </r>
        <r>
          <rPr>
            <sz val="9"/>
            <color indexed="81"/>
            <rFont val="Tahoma"/>
            <family val="2"/>
          </rPr>
          <t xml:space="preserve">
please provide units</t>
        </r>
      </text>
    </comment>
    <comment ref="B34" authorId="0" shapeId="0" xr:uid="{00000000-0006-0000-0D00-000008000000}">
      <text>
        <r>
          <rPr>
            <b/>
            <sz val="9"/>
            <color indexed="81"/>
            <rFont val="Tahoma"/>
            <family val="2"/>
          </rPr>
          <t>Fabrizio Nastri:</t>
        </r>
        <r>
          <rPr>
            <sz val="9"/>
            <color indexed="81"/>
            <rFont val="Tahoma"/>
            <family val="2"/>
          </rPr>
          <t xml:space="preserve">
please provide units</t>
        </r>
      </text>
    </comment>
    <comment ref="B36" authorId="0" shapeId="0" xr:uid="{00000000-0006-0000-0D00-000009000000}">
      <text>
        <r>
          <rPr>
            <b/>
            <sz val="9"/>
            <color indexed="81"/>
            <rFont val="Tahoma"/>
            <family val="2"/>
          </rPr>
          <t>Fabrizio Nastri:</t>
        </r>
        <r>
          <rPr>
            <sz val="9"/>
            <color indexed="81"/>
            <rFont val="Tahoma"/>
            <family val="2"/>
          </rPr>
          <t xml:space="preserve">
please provide units</t>
        </r>
      </text>
    </comment>
    <comment ref="B37" authorId="0" shapeId="0" xr:uid="{00000000-0006-0000-0D00-00000A000000}">
      <text>
        <r>
          <rPr>
            <b/>
            <sz val="9"/>
            <color indexed="81"/>
            <rFont val="Tahoma"/>
            <family val="2"/>
          </rPr>
          <t>Fabrizio Nastri:</t>
        </r>
        <r>
          <rPr>
            <sz val="9"/>
            <color indexed="81"/>
            <rFont val="Tahoma"/>
            <family val="2"/>
          </rPr>
          <t xml:space="preserve">
please provide units</t>
        </r>
      </text>
    </comment>
    <comment ref="B62" authorId="0" shapeId="0" xr:uid="{00000000-0006-0000-0D00-00000B000000}">
      <text>
        <r>
          <rPr>
            <b/>
            <sz val="9"/>
            <color indexed="81"/>
            <rFont val="Tahoma"/>
            <family val="2"/>
          </rPr>
          <t>Fabrizio Nastri:</t>
        </r>
        <r>
          <rPr>
            <sz val="9"/>
            <color indexed="81"/>
            <rFont val="Tahoma"/>
            <family val="2"/>
          </rPr>
          <t xml:space="preserve">
please provide units</t>
        </r>
      </text>
    </comment>
    <comment ref="B70" authorId="0" shapeId="0" xr:uid="{00000000-0006-0000-0D00-00000C000000}">
      <text>
        <r>
          <rPr>
            <b/>
            <sz val="9"/>
            <color indexed="81"/>
            <rFont val="Tahoma"/>
            <family val="2"/>
          </rPr>
          <t>Fabrizio Nastri:</t>
        </r>
        <r>
          <rPr>
            <sz val="9"/>
            <color indexed="81"/>
            <rFont val="Tahoma"/>
            <family val="2"/>
          </rPr>
          <t xml:space="preserve">
please provide units</t>
        </r>
      </text>
    </comment>
    <comment ref="B72" authorId="0" shapeId="0" xr:uid="{00000000-0006-0000-0D00-00000D000000}">
      <text>
        <r>
          <rPr>
            <b/>
            <sz val="9"/>
            <color indexed="81"/>
            <rFont val="Tahoma"/>
            <family val="2"/>
          </rPr>
          <t>Fabrizio Nastri:</t>
        </r>
        <r>
          <rPr>
            <sz val="9"/>
            <color indexed="81"/>
            <rFont val="Tahoma"/>
            <family val="2"/>
          </rPr>
          <t xml:space="preserve">
please provide units</t>
        </r>
      </text>
    </comment>
    <comment ref="B73" authorId="0" shapeId="0" xr:uid="{00000000-0006-0000-0D00-00000E000000}">
      <text>
        <r>
          <rPr>
            <b/>
            <sz val="9"/>
            <color indexed="81"/>
            <rFont val="Tahoma"/>
            <family val="2"/>
          </rPr>
          <t>Fabrizio Nastri:</t>
        </r>
        <r>
          <rPr>
            <sz val="9"/>
            <color indexed="81"/>
            <rFont val="Tahoma"/>
            <family val="2"/>
          </rPr>
          <t xml:space="preserve">
please provide units</t>
        </r>
      </text>
    </comment>
    <comment ref="B74" authorId="0" shapeId="0" xr:uid="{00000000-0006-0000-0D00-00000F000000}">
      <text>
        <r>
          <rPr>
            <b/>
            <sz val="9"/>
            <color indexed="81"/>
            <rFont val="Tahoma"/>
            <family val="2"/>
          </rPr>
          <t>Fabrizio Nastri:</t>
        </r>
        <r>
          <rPr>
            <sz val="9"/>
            <color indexed="81"/>
            <rFont val="Tahoma"/>
            <family val="2"/>
          </rPr>
          <t xml:space="preserve">
please provide units</t>
        </r>
      </text>
    </comment>
    <comment ref="B75" authorId="0" shapeId="0" xr:uid="{00000000-0006-0000-0D00-000010000000}">
      <text>
        <r>
          <rPr>
            <b/>
            <sz val="9"/>
            <color indexed="81"/>
            <rFont val="Tahoma"/>
            <family val="2"/>
          </rPr>
          <t>Fabrizio Nastri:</t>
        </r>
        <r>
          <rPr>
            <sz val="9"/>
            <color indexed="81"/>
            <rFont val="Tahoma"/>
            <family val="2"/>
          </rPr>
          <t xml:space="preserve">
please provide units</t>
        </r>
      </text>
    </comment>
    <comment ref="B76" authorId="0" shapeId="0" xr:uid="{00000000-0006-0000-0D00-000011000000}">
      <text>
        <r>
          <rPr>
            <b/>
            <sz val="9"/>
            <color indexed="81"/>
            <rFont val="Tahoma"/>
            <family val="2"/>
          </rPr>
          <t>Fabrizio Nastri:</t>
        </r>
        <r>
          <rPr>
            <sz val="9"/>
            <color indexed="81"/>
            <rFont val="Tahoma"/>
            <family val="2"/>
          </rPr>
          <t xml:space="preserve">
please provide units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Ampyx</author>
  </authors>
  <commentList>
    <comment ref="B19" authorId="0" shapeId="0" xr:uid="{00000000-0006-0000-0E00-000001000000}">
      <text>
        <r>
          <rPr>
            <b/>
            <sz val="9"/>
            <color indexed="81"/>
            <rFont val="Tahoma"/>
            <family val="2"/>
          </rPr>
          <t>Ampyx:</t>
        </r>
        <r>
          <rPr>
            <sz val="9"/>
            <color indexed="81"/>
            <rFont val="Tahoma"/>
            <family val="2"/>
          </rPr>
          <t xml:space="preserve">
LCEO / (Capacity factor)^0.8</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<sst xmlns="http://schemas.openxmlformats.org/spreadsheetml/2006/main" count="4600" uniqueCount="1760">
  <si>
    <t>Grid efficiency</t>
  </si>
  <si>
    <t>From mechanical to storage input to shaft or DC/AC input</t>
  </si>
  <si>
    <t>Storage roundtrip</t>
  </si>
  <si>
    <t>Cycle efficiency</t>
  </si>
  <si>
    <t>Peak mech. power limit factor</t>
  </si>
  <si>
    <t>Tmax_act</t>
  </si>
  <si>
    <t>S</t>
  </si>
  <si>
    <t>CL</t>
  </si>
  <si>
    <t>L_tether_min</t>
  </si>
  <si>
    <t>CD0</t>
  </si>
  <si>
    <t>CD_tether</t>
  </si>
  <si>
    <t>CD</t>
  </si>
  <si>
    <t>Availability</t>
  </si>
  <si>
    <t>Rated wind</t>
  </si>
  <si>
    <t>Power curve</t>
  </si>
  <si>
    <t>Weibull</t>
  </si>
  <si>
    <t>Sigma</t>
  </si>
  <si>
    <t>Average</t>
  </si>
  <si>
    <t>Median</t>
  </si>
  <si>
    <t>Wind statistics</t>
  </si>
  <si>
    <t>Cumulative Energy</t>
  </si>
  <si>
    <t>Capacity factor</t>
  </si>
  <si>
    <t>Max cycle reel-out speed</t>
  </si>
  <si>
    <t>M</t>
  </si>
  <si>
    <t>I</t>
  </si>
  <si>
    <t>a</t>
  </si>
  <si>
    <t>b</t>
  </si>
  <si>
    <t>c</t>
  </si>
  <si>
    <t>Rated Mechanical Reelout Power</t>
  </si>
  <si>
    <t>Rated Mechanical Cycle Power</t>
  </si>
  <si>
    <t xml:space="preserve">Reel in speed max </t>
  </si>
  <si>
    <t>Assumed at max speed, linear acceleration</t>
  </si>
  <si>
    <t>50% energy level check</t>
  </si>
  <si>
    <t>50% Energy wind</t>
  </si>
  <si>
    <t>% Energy wind</t>
  </si>
  <si>
    <t>Error</t>
  </si>
  <si>
    <t>Pattern elevation</t>
  </si>
  <si>
    <t>Pattern angular radius</t>
  </si>
  <si>
    <t>Non-optimal pattern &amp; tracking</t>
  </si>
  <si>
    <t>ONLY PART GOES THROUGH STORAGE! DEPENDING ON CYCLE EFFICIENCY</t>
  </si>
  <si>
    <t>1= no storage, otherwise full cycle storage</t>
  </si>
  <si>
    <t>Function of drag &amp; speed (acceleration ignored). Electrical efficiency ignored!!</t>
  </si>
  <si>
    <t>1= no gearbox</t>
  </si>
  <si>
    <t>Reelout time</t>
  </si>
  <si>
    <t>Storage loss estimate</t>
  </si>
  <si>
    <t>Storage loss check</t>
  </si>
  <si>
    <t xml:space="preserve"> </t>
  </si>
  <si>
    <t>deg</t>
  </si>
  <si>
    <t>m/s</t>
  </si>
  <si>
    <t>m/s2</t>
  </si>
  <si>
    <t>N</t>
  </si>
  <si>
    <t>m2</t>
  </si>
  <si>
    <t>DeltaPhi</t>
  </si>
  <si>
    <t>Angle</t>
  </si>
  <si>
    <t>rad</t>
  </si>
  <si>
    <t>cos</t>
  </si>
  <si>
    <t>sin</t>
  </si>
  <si>
    <t xml:space="preserve">theta </t>
  </si>
  <si>
    <t>Mean Rad</t>
  </si>
  <si>
    <t>Theta is very good first order estimate!</t>
  </si>
  <si>
    <t>(deg)</t>
  </si>
  <si>
    <t>WindAngle (rad)</t>
  </si>
  <si>
    <t>COS</t>
  </si>
  <si>
    <t>COS^2</t>
  </si>
  <si>
    <t>COS^3</t>
  </si>
  <si>
    <t>Tension</t>
  </si>
  <si>
    <t>Tension/Weight</t>
  </si>
  <si>
    <t>Abs(cos)</t>
  </si>
  <si>
    <t>Approx. average impact over circle</t>
  </si>
  <si>
    <t>Error to theta</t>
  </si>
  <si>
    <t>Error to wind angle</t>
  </si>
  <si>
    <t>Oscillation</t>
  </si>
  <si>
    <t>mass</t>
  </si>
  <si>
    <t>W</t>
  </si>
  <si>
    <t>labda</t>
  </si>
  <si>
    <t>Power</t>
  </si>
  <si>
    <t>Wind</t>
  </si>
  <si>
    <t>delta</t>
  </si>
  <si>
    <t>Va</t>
  </si>
  <si>
    <t>gamma</t>
  </si>
  <si>
    <t>down</t>
  </si>
  <si>
    <t>s</t>
  </si>
  <si>
    <t>Factor:</t>
  </si>
  <si>
    <t>Area</t>
  </si>
  <si>
    <t>a_a</t>
  </si>
  <si>
    <t>a_b</t>
  </si>
  <si>
    <t>b_a</t>
  </si>
  <si>
    <t>b_b</t>
  </si>
  <si>
    <t>Aircraft tension</t>
  </si>
  <si>
    <t>Wing Area</t>
  </si>
  <si>
    <t>x</t>
  </si>
  <si>
    <t xml:space="preserve">a </t>
  </si>
  <si>
    <t>Actual</t>
  </si>
  <si>
    <t>kN/m2</t>
  </si>
  <si>
    <t>Mass innovation Bridle</t>
  </si>
  <si>
    <t>Mass innovation Layout (AKKA)</t>
  </si>
  <si>
    <t>Combustion engine</t>
  </si>
  <si>
    <t>Aspect ratio</t>
  </si>
  <si>
    <t>Future materials, systems and other long term gains</t>
  </si>
  <si>
    <t>Relative to 12</t>
  </si>
  <si>
    <t>Sink rate</t>
  </si>
  <si>
    <t>Roll angle max</t>
  </si>
  <si>
    <t>L_tether_min required</t>
  </si>
  <si>
    <t>Gust margin (factor)</t>
  </si>
  <si>
    <t>Minimal length margin (factor)</t>
  </si>
  <si>
    <t>Sigma_tether</t>
  </si>
  <si>
    <t>Pa</t>
  </si>
  <si>
    <t>Takes into account estimated gravity, centripetal and elevation effects</t>
  </si>
  <si>
    <t xml:space="preserve">Gravity impact on sink rate (due to lift inclination, simplified, Vincent) </t>
  </si>
  <si>
    <t>Can lower CL (assumed in CL value)</t>
  </si>
  <si>
    <t>Tension not achieved (assumed in gust margin)</t>
  </si>
  <si>
    <t>V_RO</t>
  </si>
  <si>
    <t>Mech. Reelout Power</t>
  </si>
  <si>
    <t>MechPwr</t>
  </si>
  <si>
    <t>Vsink_simple</t>
  </si>
  <si>
    <t>For info</t>
  </si>
  <si>
    <t>Capped Reelout</t>
  </si>
  <si>
    <t>Elec Power</t>
  </si>
  <si>
    <t>Vsink_down</t>
  </si>
  <si>
    <t>V_RO_max</t>
  </si>
  <si>
    <t>First all positive wind</t>
  </si>
  <si>
    <t>All positive power wind</t>
  </si>
  <si>
    <t>Cut-in speed (physical)</t>
  </si>
  <si>
    <t>V_RO down</t>
  </si>
  <si>
    <t>First capping wind</t>
  </si>
  <si>
    <t>T</t>
  </si>
  <si>
    <t>SR</t>
  </si>
  <si>
    <t>P</t>
  </si>
  <si>
    <t xml:space="preserve">Power capping onset </t>
  </si>
  <si>
    <t>Full tension wind</t>
  </si>
  <si>
    <t>Full tension</t>
  </si>
  <si>
    <t>CL0</t>
  </si>
  <si>
    <t>e</t>
  </si>
  <si>
    <t>V_air</t>
  </si>
  <si>
    <t>V_cross</t>
  </si>
  <si>
    <t>xi</t>
  </si>
  <si>
    <t>Lmax</t>
  </si>
  <si>
    <t>Cycle time</t>
  </si>
  <si>
    <t>Generator efficiency vs. wind speed</t>
  </si>
  <si>
    <t>Peak</t>
  </si>
  <si>
    <t>Generator (Hydraulic, Mechanical, Electric,Constant)</t>
  </si>
  <si>
    <t>Gear box</t>
  </si>
  <si>
    <t>Storage round trip efficiency</t>
  </si>
  <si>
    <t>1=no storage (vs full cycle)</t>
  </si>
  <si>
    <t>Gen+gear eff</t>
  </si>
  <si>
    <t>ReelInLosses</t>
  </si>
  <si>
    <t>L_tether_max (estimate)</t>
  </si>
  <si>
    <t>Weighted mech. Losses</t>
  </si>
  <si>
    <t>Capping changes CL, therefore velocities change (not shown here)</t>
  </si>
  <si>
    <t>Test</t>
  </si>
  <si>
    <t>Mech. Loss</t>
  </si>
  <si>
    <t>Weighted</t>
  </si>
  <si>
    <t>Weighted reel-in losses</t>
  </si>
  <si>
    <t>XX% energy</t>
  </si>
  <si>
    <t>ReelInSpeed</t>
  </si>
  <si>
    <t>Low reel in speed wind factor</t>
  </si>
  <si>
    <t xml:space="preserve">Adapt low wind reel-in speed (Y/N) </t>
  </si>
  <si>
    <t>Cycle efficiency (max)</t>
  </si>
  <si>
    <t>V_RO up</t>
  </si>
  <si>
    <t>Reel-out speed delta in cycle</t>
  </si>
  <si>
    <t xml:space="preserve">Wind to sustain tethered flight. </t>
  </si>
  <si>
    <t>Uncapped rated wind</t>
  </si>
  <si>
    <t>Engineering aspects</t>
  </si>
  <si>
    <t>Electric</t>
  </si>
  <si>
    <t>Hydraulic</t>
  </si>
  <si>
    <t>Airspeed (rated wind) [m/s]</t>
  </si>
  <si>
    <t>Num patterns</t>
  </si>
  <si>
    <t>Reel out time</t>
  </si>
  <si>
    <t>Reel in time</t>
  </si>
  <si>
    <t>Indeed a multiplier in full?</t>
  </si>
  <si>
    <t>Number of patterns per cycle (rated power)</t>
  </si>
  <si>
    <t>P_electrical</t>
  </si>
  <si>
    <t>Mass override (0=none)</t>
  </si>
  <si>
    <t>kg</t>
  </si>
  <si>
    <t>Minimal length margin (additional)</t>
  </si>
  <si>
    <t>m</t>
  </si>
  <si>
    <t>Simple efficiency</t>
  </si>
  <si>
    <t>Simple - ideal</t>
  </si>
  <si>
    <t>Simple - inertia + elevation</t>
  </si>
  <si>
    <t>Simple - inertia</t>
  </si>
  <si>
    <t>Simple - elevation</t>
  </si>
  <si>
    <t>Simple - gravity + inertia + elevation</t>
  </si>
  <si>
    <t>Removed coupling between inertia and elevation (tangent), very small</t>
  </si>
  <si>
    <t>Simple - gravity + inertia + elevation + variable efficiency</t>
  </si>
  <si>
    <t>System</t>
  </si>
  <si>
    <t>RPA</t>
  </si>
  <si>
    <t>Avionics &amp; sensors</t>
  </si>
  <si>
    <t>Propulsion &amp; onboard power</t>
  </si>
  <si>
    <t>Structure</t>
  </si>
  <si>
    <t>ManHr rate (k€)</t>
  </si>
  <si>
    <t>LG</t>
  </si>
  <si>
    <t>Tether</t>
  </si>
  <si>
    <t>Upper tether</t>
  </si>
  <si>
    <t>Lower tether</t>
  </si>
  <si>
    <t>PGA</t>
  </si>
  <si>
    <t>Generator</t>
  </si>
  <si>
    <t>Storage</t>
  </si>
  <si>
    <t>Control electronics</t>
  </si>
  <si>
    <t>Steelwork</t>
  </si>
  <si>
    <t>LLA</t>
  </si>
  <si>
    <t>Mechanisms</t>
  </si>
  <si>
    <t>Electronics</t>
  </si>
  <si>
    <t>Transmission</t>
  </si>
  <si>
    <t>Park preparation</t>
  </si>
  <si>
    <t>Park fixed</t>
  </si>
  <si>
    <t>Commisioning</t>
  </si>
  <si>
    <t>Foundation</t>
  </si>
  <si>
    <t>Installation</t>
  </si>
  <si>
    <t>Electrical</t>
  </si>
  <si>
    <t>AC/DC conv.+DC/AC to grid|shaft to grid</t>
  </si>
  <si>
    <t>Mechanical</t>
  </si>
  <si>
    <t>CL_(CL/CD)max</t>
  </si>
  <si>
    <t>CD_min</t>
  </si>
  <si>
    <t>Glide slope</t>
  </si>
  <si>
    <t>Glide speed</t>
  </si>
  <si>
    <t xml:space="preserve">Control surface deflection </t>
  </si>
  <si>
    <t>H</t>
  </si>
  <si>
    <t>RPA design tension</t>
  </si>
  <si>
    <t>Remarks</t>
  </si>
  <si>
    <t>Assumed</t>
  </si>
  <si>
    <t>ROM  5 kg 2000 euro. probably &lt;50 kEuro Antares (40 kg, 40 kW) + A123 Erik*2</t>
  </si>
  <si>
    <t>Carbon_prepreg (k€/kg)</t>
  </si>
  <si>
    <t>Brackets</t>
  </si>
  <si>
    <t>Production volume factor</t>
  </si>
  <si>
    <t xml:space="preserve">HERO71 foam(k€/m2) </t>
  </si>
  <si>
    <t xml:space="preserve">Coating(k€/m2) </t>
  </si>
  <si>
    <t>more than steelwork mechanisms @100 Euro/kg, less than complex mechanisms</t>
  </si>
  <si>
    <t>New number from DSM, can be 60€/kg and even lower</t>
  </si>
  <si>
    <t>LG actuators</t>
  </si>
  <si>
    <t>small</t>
  </si>
  <si>
    <t>medium</t>
  </si>
  <si>
    <t>big</t>
  </si>
  <si>
    <t xml:space="preserve">1st=recur, but complex, simple. </t>
  </si>
  <si>
    <t>storage</t>
  </si>
  <si>
    <t>Backend/front interface</t>
  </si>
  <si>
    <t>electric + control</t>
  </si>
  <si>
    <t>things excp. generator (winch in hydrau), inverter+transformer</t>
  </si>
  <si>
    <t>Newleaf report gate 2 conceptual cost table2 for hydraulic, table 3 for electrical,  generator (+winch in elec)+accesory</t>
  </si>
  <si>
    <t>Add 20 kEuro for complexity</t>
  </si>
  <si>
    <t>Metal rods &amp; bearings, estimate</t>
  </si>
  <si>
    <t>mass is approx equal to tension in kg. stainless steel about 1 euro/kg. structure : 5-20x, aim for 4, added 1000kg for buffer</t>
  </si>
  <si>
    <t>Several manmonths integration 20 for 90m2 from 4D37, YZ scaled by wing area</t>
  </si>
  <si>
    <t>field clearing, levelling</t>
  </si>
  <si>
    <t xml:space="preserve">Onshore(€/park): EIA, permit, PM, devpt, site engineering, offshore(€/MW):repower price, floating = 5x repower devex per MW </t>
  </si>
  <si>
    <t>Onshore:Windturbine database: 75kEuro/km cabling +/- 40%, NO dependency on power.  Offshore:</t>
  </si>
  <si>
    <t>incl. security set-up</t>
  </si>
  <si>
    <t xml:space="preserve">building, meteo, control equipment, RF; NumFac: individual facility monitoring cost. 150 k hangar EST. 50 kEuro radar EST. windturbine database: substation civil 5 kEuro/system (+/- 25%). 50kEuro station basis.  50 kEuro SCADA +/- 20%(not dependent on #)  </t>
  </si>
  <si>
    <t>Offshore: SAF floator, &gt;2MW same floater</t>
  </si>
  <si>
    <t>mass is approx equal to half the tension in kg. stainless steel about 1 euro/kg. structure : 5-20x . Add 20 kEuro for complexity</t>
  </si>
  <si>
    <t>Assumes we can reduce complexity for recurring resulting design optimization. Upto 75% simple should be feasible</t>
  </si>
  <si>
    <t>Rohacell HERO71 0.075 Euro/m2 (10mm 130e/m2, 5mm, 91,80e/m2); mainly 5mm used. 20% discount</t>
  </si>
  <si>
    <t xml:space="preserve">Quote for AP-3. </t>
  </si>
  <si>
    <t>Assumed coating area =1.25 wing area, Yannan:fuselage is 50% of it</t>
  </si>
  <si>
    <t>Price/kg</t>
  </si>
  <si>
    <t>Yannan:scaled w/ the tension in 4D37</t>
  </si>
  <si>
    <t xml:space="preserve"> Edward: 115€/kg AS4/8552 UD</t>
  </si>
  <si>
    <t>Production(k€/kg) complex</t>
  </si>
  <si>
    <t>Production(k€/kg) simple</t>
  </si>
  <si>
    <t>% simple structure</t>
  </si>
  <si>
    <t>Price/kg complex</t>
  </si>
  <si>
    <t>Price/kg simple</t>
  </si>
  <si>
    <t>n/a</t>
  </si>
  <si>
    <t>Lists</t>
  </si>
  <si>
    <t>gen_type</t>
  </si>
  <si>
    <t>gen_types</t>
  </si>
  <si>
    <t>manual input</t>
  </si>
  <si>
    <t>special calculation</t>
  </si>
  <si>
    <t>link within sheet</t>
  </si>
  <si>
    <t>link from outside sheet</t>
  </si>
  <si>
    <t>Read me</t>
  </si>
  <si>
    <t>Colour codes</t>
  </si>
  <si>
    <t>Rated power (MW)</t>
  </si>
  <si>
    <t>peak_Mpwr_ratio</t>
  </si>
  <si>
    <t>Q</t>
  </si>
  <si>
    <t>C</t>
  </si>
  <si>
    <t>Experience factor</t>
  </si>
  <si>
    <t>Size scale factor</t>
  </si>
  <si>
    <t>RPA mass</t>
  </si>
  <si>
    <t xml:space="preserve">Onshore: 4D37,Offshore:BoP_install_per_MW=196 from SAF 68.6M€/350MW, AWES_install_per_MW=20 repowering, Piet from ECN estimate, Michiel doubled  </t>
  </si>
  <si>
    <t>10-&gt;33 kV transformer, electronics. windturbine dBase: transformer 50kEuro+/-40% (2 MW), electronics 15kEuro/MW +/-30%. !!!TBD Damien: include recloser? (60 kEuro/MW ?)</t>
  </si>
  <si>
    <t>RPA &amp; upper tether mass</t>
  </si>
  <si>
    <t>Unit</t>
  </si>
  <si>
    <t>Value</t>
  </si>
  <si>
    <t>AP3 numbers for info</t>
  </si>
  <si>
    <t>KN</t>
  </si>
  <si>
    <t>kW</t>
  </si>
  <si>
    <t xml:space="preserve">Rated Power </t>
  </si>
  <si>
    <t>Wing area</t>
  </si>
  <si>
    <t>Alias</t>
  </si>
  <si>
    <t>Park config</t>
  </si>
  <si>
    <t>Main config. drivers of AP4</t>
  </si>
  <si>
    <t>Detailed config. assumptions of AP4</t>
  </si>
  <si>
    <t>Park life</t>
  </si>
  <si>
    <t xml:space="preserve"> yrs</t>
  </si>
  <si>
    <t>#</t>
  </si>
  <si>
    <t>Outputs</t>
  </si>
  <si>
    <t>scenario_size</t>
  </si>
  <si>
    <t>Total</t>
  </si>
  <si>
    <t>PGA detailed design</t>
  </si>
  <si>
    <t>PGA manufacturing</t>
  </si>
  <si>
    <t>LLA manufacturing</t>
  </si>
  <si>
    <t>LLA integration &amp; verification</t>
  </si>
  <si>
    <t>Software and control</t>
  </si>
  <si>
    <t>Certification</t>
  </si>
  <si>
    <t>Program management</t>
  </si>
  <si>
    <t>k€</t>
  </si>
  <si>
    <t>Total development costs</t>
  </si>
  <si>
    <t>Scale factor</t>
  </si>
  <si>
    <t>employer_contributions</t>
  </si>
  <si>
    <t>Same as AP-3</t>
  </si>
  <si>
    <t xml:space="preserve"> minus 40% efficiency *3 number of parts and mass</t>
  </si>
  <si>
    <t>EWIS</t>
  </si>
  <si>
    <t>Same as AP3</t>
  </si>
  <si>
    <t>Landing gear</t>
  </si>
  <si>
    <t>70% of the work of AP-3</t>
  </si>
  <si>
    <t>Navigation system</t>
  </si>
  <si>
    <t>30% of AP-3</t>
  </si>
  <si>
    <t>PCB's</t>
  </si>
  <si>
    <t>Electronics: 50% of AP-3</t>
  </si>
  <si>
    <t>Power system</t>
  </si>
  <si>
    <t>Power boards: 70% of AP-3</t>
  </si>
  <si>
    <t>Propulsion</t>
  </si>
  <si>
    <t>Tether Attachment</t>
  </si>
  <si>
    <t>If the AP-3 TA work, the AP-4 requires half the time.</t>
  </si>
  <si>
    <t>Plug production</t>
  </si>
  <si>
    <t>Mould production</t>
  </si>
  <si>
    <t>Coupon production and testing</t>
  </si>
  <si>
    <t>Verification samples &amp; verification wing</t>
  </si>
  <si>
    <t>Parts manufacturing</t>
  </si>
  <si>
    <t>Airframe assembly</t>
  </si>
  <si>
    <t>Depreciation of equipment</t>
  </si>
  <si>
    <t>Metal milled components</t>
  </si>
  <si>
    <t>Fasteners</t>
  </si>
  <si>
    <t>Paint</t>
  </si>
  <si>
    <t>Actuators for control surfaces</t>
  </si>
  <si>
    <t>Other actuators</t>
  </si>
  <si>
    <t>Tether attachment</t>
  </si>
  <si>
    <t>On-board generator</t>
  </si>
  <si>
    <t>On-board computers</t>
  </si>
  <si>
    <t>PCBs</t>
  </si>
  <si>
    <t>Avionics enclosures</t>
  </si>
  <si>
    <t>Connectors</t>
  </si>
  <si>
    <t>Cabling</t>
  </si>
  <si>
    <t>IMU</t>
  </si>
  <si>
    <t>GNSS</t>
  </si>
  <si>
    <t>Air data</t>
  </si>
  <si>
    <t>Radio</t>
  </si>
  <si>
    <t>Batteries</t>
  </si>
  <si>
    <t>Lighting</t>
  </si>
  <si>
    <t>HIL</t>
  </si>
  <si>
    <t>Verification rigs</t>
  </si>
  <si>
    <t>Control surface mechanisms</t>
  </si>
  <si>
    <t>Wing loading</t>
  </si>
  <si>
    <t>Procured verification campaigns</t>
  </si>
  <si>
    <t>Climate campaign</t>
  </si>
  <si>
    <t>Shock &amp; vibration</t>
  </si>
  <si>
    <t>EMC</t>
  </si>
  <si>
    <t>Thermal</t>
  </si>
  <si>
    <t>Site specific tests</t>
  </si>
  <si>
    <t>Taxi tests</t>
  </si>
  <si>
    <t>Low wind verification</t>
  </si>
  <si>
    <t>High wind verification</t>
  </si>
  <si>
    <t>Semester (year-month)</t>
  </si>
  <si>
    <t>Drivetrain conceptual design</t>
  </si>
  <si>
    <t>Winch &amp; Sheaves conceptual design</t>
  </si>
  <si>
    <t>Tether conceptual design</t>
  </si>
  <si>
    <t>Drivetrain detailed design</t>
  </si>
  <si>
    <t>Winch &amp; sheaves detailed design</t>
  </si>
  <si>
    <t>Tether detailed design</t>
  </si>
  <si>
    <t>Detailed design</t>
  </si>
  <si>
    <t>Design to manufacture drivetrain</t>
  </si>
  <si>
    <t>Drivetrain manufacturing</t>
  </si>
  <si>
    <t>Design to manufacture winch &amp; sheaves</t>
  </si>
  <si>
    <t>Design to manufacture tether</t>
  </si>
  <si>
    <t>Winch and sheaves manufacturing</t>
  </si>
  <si>
    <t>Tether manufacturing</t>
  </si>
  <si>
    <t>Manufacturing</t>
  </si>
  <si>
    <t>Integration of PGA</t>
  </si>
  <si>
    <t>Verification campaign</t>
  </si>
  <si>
    <t>Integration &amp; verification</t>
  </si>
  <si>
    <t>Layout study</t>
  </si>
  <si>
    <t>Catapult</t>
  </si>
  <si>
    <t>Shifter</t>
  </si>
  <si>
    <t>Secondary arresting</t>
  </si>
  <si>
    <t>LLA conceptual design</t>
  </si>
  <si>
    <t>Structure, deck, rotation</t>
  </si>
  <si>
    <t>Secondary arrest</t>
  </si>
  <si>
    <t>Repositioning &amp; recharging</t>
  </si>
  <si>
    <t>Auxiliary</t>
  </si>
  <si>
    <t>Mp</t>
  </si>
  <si>
    <t>Mp+t</t>
  </si>
  <si>
    <t>U</t>
  </si>
  <si>
    <t>¤</t>
  </si>
  <si>
    <t>Size in ¤</t>
  </si>
  <si>
    <t>Unit cost in €/¤</t>
  </si>
  <si>
    <t>X</t>
  </si>
  <si>
    <t>Abbreviations</t>
  </si>
  <si>
    <t>horizon</t>
  </si>
  <si>
    <t>avg_speed</t>
  </si>
  <si>
    <t>sigma</t>
  </si>
  <si>
    <t>Cost of a system in € : C = U * S</t>
  </si>
  <si>
    <t>Number of systems in a wind park…</t>
  </si>
  <si>
    <t>Total cost of a project : T = C * N</t>
  </si>
  <si>
    <t>Total quantity of units produced (river of experience curve)</t>
  </si>
  <si>
    <t>F</t>
  </si>
  <si>
    <t>Max tether tension that the plane is designed for</t>
  </si>
  <si>
    <t>Actual max tether tension of the thether used in that configuration</t>
  </si>
  <si>
    <t>Scenarios</t>
  </si>
  <si>
    <t>scenario_nr</t>
  </si>
  <si>
    <t>scenarios</t>
  </si>
  <si>
    <t>gen_type_nr</t>
  </si>
  <si>
    <t>scenario</t>
  </si>
  <si>
    <t>Tether Tmax</t>
  </si>
  <si>
    <t>No Gains</t>
  </si>
  <si>
    <t>% gain</t>
  </si>
  <si>
    <t>%</t>
  </si>
  <si>
    <t>wing_area</t>
  </si>
  <si>
    <t>Tmax_t</t>
  </si>
  <si>
    <t>Tmax_p</t>
  </si>
  <si>
    <t>ref_wing_area</t>
  </si>
  <si>
    <t>Theta</t>
  </si>
  <si>
    <t>Designates a physical unit, whatever in may be : items, kg, m2, N…</t>
  </si>
  <si>
    <t>PGA development cost</t>
  </si>
  <si>
    <t>LLA development cost</t>
  </si>
  <si>
    <t>Mass RPA  (Quetzalcoatlus tech)</t>
  </si>
  <si>
    <t>Mass RPA &amp; half tether</t>
  </si>
  <si>
    <t>Capex &amp; Opex model</t>
  </si>
  <si>
    <t>Performance model</t>
  </si>
  <si>
    <t>Mass model</t>
  </si>
  <si>
    <t>Cut in speed (economic)</t>
  </si>
  <si>
    <t>Acceleration</t>
  </si>
  <si>
    <t>Roll angle max -rad</t>
  </si>
  <si>
    <t>Pattern angular radius -rad</t>
  </si>
  <si>
    <t>E</t>
  </si>
  <si>
    <t>Constant</t>
  </si>
  <si>
    <t>gen_letter</t>
  </si>
  <si>
    <t>Employer contributions (% of gross salary)</t>
  </si>
  <si>
    <t>Reference aircraft wing area</t>
  </si>
  <si>
    <t>Energy price</t>
  </si>
  <si>
    <t>€/MWh</t>
  </si>
  <si>
    <t xml:space="preserve">Tether length (rated wind) </t>
  </si>
  <si>
    <t xml:space="preserve">Reel-out length </t>
  </si>
  <si>
    <t xml:space="preserve">Cable mass </t>
  </si>
  <si>
    <t xml:space="preserve">Cable diameter </t>
  </si>
  <si>
    <t>MWh</t>
  </si>
  <si>
    <t>AEP</t>
  </si>
  <si>
    <t>CapFac</t>
  </si>
  <si>
    <t>Input threshould (% Energy wind)</t>
  </si>
  <si>
    <t xml:space="preserve">Linear density tether </t>
  </si>
  <si>
    <t>kg/m</t>
  </si>
  <si>
    <t>Calculations &amp; check</t>
  </si>
  <si>
    <t xml:space="preserve">Delta-L estimate factor </t>
  </si>
  <si>
    <t xml:space="preserve">Roll angle </t>
  </si>
  <si>
    <t>sec</t>
  </si>
  <si>
    <t>General</t>
  </si>
  <si>
    <t>AEP per system</t>
  </si>
  <si>
    <t>% base</t>
  </si>
  <si>
    <t>wing_area_override</t>
  </si>
  <si>
    <t>Q_override</t>
  </si>
  <si>
    <t>Mp_override</t>
  </si>
  <si>
    <t>Rated Power (% ratio)</t>
  </si>
  <si>
    <t>RPA design tension (% ratio)</t>
  </si>
  <si>
    <r>
      <t>U</t>
    </r>
    <r>
      <rPr>
        <vertAlign val="subscript"/>
        <sz val="10"/>
        <rFont val="Nunito Light"/>
      </rPr>
      <t>0</t>
    </r>
  </si>
  <si>
    <r>
      <t>T</t>
    </r>
    <r>
      <rPr>
        <sz val="10"/>
        <color theme="1"/>
        <rFont val="Nunito Light"/>
      </rPr>
      <t>max-p</t>
    </r>
  </si>
  <si>
    <r>
      <t>T</t>
    </r>
    <r>
      <rPr>
        <sz val="10"/>
        <color theme="1"/>
        <rFont val="Nunito Light"/>
      </rPr>
      <t>max-t</t>
    </r>
  </si>
  <si>
    <t>%/yr</t>
  </si>
  <si>
    <t>€ per unit/piece/system</t>
  </si>
  <si>
    <t>number of units/pieces/systems</t>
  </si>
  <si>
    <t>€/µ</t>
  </si>
  <si>
    <t>µ</t>
  </si>
  <si>
    <t>Analysis</t>
  </si>
  <si>
    <t>whpy</t>
  </si>
  <si>
    <t>Working hours per year</t>
  </si>
  <si>
    <t xml:space="preserve">2 FTE * 1720 </t>
  </si>
  <si>
    <t>Avionics procurement (k€)</t>
  </si>
  <si>
    <t>RPA development cost</t>
  </si>
  <si>
    <t>Development cost estimates</t>
  </si>
  <si>
    <t>scenario_sizes</t>
  </si>
  <si>
    <t>scenario_size_nr</t>
  </si>
  <si>
    <t>quantities</t>
  </si>
  <si>
    <t>quantity_nr</t>
  </si>
  <si>
    <t>quantity</t>
  </si>
  <si>
    <t>Integration</t>
  </si>
  <si>
    <t>Description</t>
  </si>
  <si>
    <t>Structure mass</t>
  </si>
  <si>
    <t>k€/m2</t>
  </si>
  <si>
    <t>k€/kg</t>
  </si>
  <si>
    <t>k€/kN</t>
  </si>
  <si>
    <t>Rudder mechanisms</t>
  </si>
  <si>
    <t>Elevator mechanisms</t>
  </si>
  <si>
    <t>Aileron mechanisms</t>
  </si>
  <si>
    <t>Flaperon mechanisms</t>
  </si>
  <si>
    <t>Flap mechanisms</t>
  </si>
  <si>
    <t>Spoileron mechanisms</t>
  </si>
  <si>
    <t>Subsystem mass</t>
  </si>
  <si>
    <t>Plane design tether max</t>
  </si>
  <si>
    <t>Tether mass</t>
  </si>
  <si>
    <t>k€/MW</t>
  </si>
  <si>
    <t>Cost</t>
  </si>
  <si>
    <r>
      <t>S</t>
    </r>
    <r>
      <rPr>
        <vertAlign val="subscript"/>
        <sz val="10"/>
        <rFont val="Nunito Light"/>
      </rPr>
      <t xml:space="preserve">0 </t>
    </r>
  </si>
  <si>
    <t>k€/¤</t>
  </si>
  <si>
    <t>Park size</t>
  </si>
  <si>
    <t>Park power</t>
  </si>
  <si>
    <t>MW</t>
  </si>
  <si>
    <t>Pp</t>
  </si>
  <si>
    <t>cph</t>
  </si>
  <si>
    <t>k€/hr</t>
  </si>
  <si>
    <t>hr/yr</t>
  </si>
  <si>
    <t>hr</t>
  </si>
  <si>
    <t>1 t crane</t>
  </si>
  <si>
    <t>100 t crane</t>
  </si>
  <si>
    <t>LLA detailed design</t>
  </si>
  <si>
    <t>Exp. Factor</t>
  </si>
  <si>
    <t>AWES Capex</t>
  </si>
  <si>
    <t>Park Capex</t>
  </si>
  <si>
    <t>Park Opex</t>
  </si>
  <si>
    <t>Actuators</t>
  </si>
  <si>
    <t>Mass</t>
  </si>
  <si>
    <t>cable_mass</t>
  </si>
  <si>
    <t>km</t>
  </si>
  <si>
    <t>k€/km2</t>
  </si>
  <si>
    <t>k€/km</t>
  </si>
  <si>
    <t>Park size (# AWES)</t>
  </si>
  <si>
    <t>Fence length</t>
  </si>
  <si>
    <t>Variable cost driver (size)</t>
  </si>
  <si>
    <t>k€/unit</t>
  </si>
  <si>
    <t>Park area</t>
  </si>
  <si>
    <t>% total</t>
  </si>
  <si>
    <t>€/W</t>
  </si>
  <si>
    <t>Grid connection</t>
  </si>
  <si>
    <t>Fence</t>
  </si>
  <si>
    <t>yr</t>
  </si>
  <si>
    <t>% capex</t>
  </si>
  <si>
    <t>hr/m2</t>
  </si>
  <si>
    <t>hr/kN</t>
  </si>
  <si>
    <t>kN</t>
  </si>
  <si>
    <t>Interval</t>
  </si>
  <si>
    <t>nr times</t>
  </si>
  <si>
    <t>Man hours</t>
  </si>
  <si>
    <t>value</t>
  </si>
  <si>
    <t>unit</t>
  </si>
  <si>
    <t>Variable cost (unit cost)</t>
  </si>
  <si>
    <t>Type</t>
  </si>
  <si>
    <t>Rate</t>
  </si>
  <si>
    <t>Reference</t>
  </si>
  <si>
    <t>Frequency</t>
  </si>
  <si>
    <t>Spare parts</t>
  </si>
  <si>
    <t>Replacement cost</t>
  </si>
  <si>
    <t>Crane rental</t>
  </si>
  <si>
    <t>Cost/event</t>
  </si>
  <si>
    <t>Annual cost</t>
  </si>
  <si>
    <t>k€/yr</t>
  </si>
  <si>
    <t>Total expenditure</t>
  </si>
  <si>
    <t>Total AP4 FTE</t>
  </si>
  <si>
    <t>Other  - cost</t>
  </si>
  <si>
    <t>Airframe manufacturing (k€)</t>
  </si>
  <si>
    <t>Conceptual&amp; preliminary design</t>
  </si>
  <si>
    <t>Verification</t>
  </si>
  <si>
    <t>conceptual aircraft design</t>
  </si>
  <si>
    <t>PGA conceptual design</t>
  </si>
  <si>
    <t>Drivetrain prelimminary design</t>
  </si>
  <si>
    <t>Winch &amp; sheaves prelimminary design</t>
  </si>
  <si>
    <t>Tether prelimminary design</t>
  </si>
  <si>
    <t>PGA prelimminary design</t>
  </si>
  <si>
    <t>LLA prelimminary design</t>
  </si>
  <si>
    <t>Airframe design</t>
  </si>
  <si>
    <t>Aerodynamic modelling</t>
  </si>
  <si>
    <t>Control Surface mechanisms</t>
  </si>
  <si>
    <t>Winch, sheaves and tether manufacturing</t>
  </si>
  <si>
    <t>RPA integration &amp; verification (k€)</t>
  </si>
  <si>
    <t>PGA integration &amp; verification</t>
  </si>
  <si>
    <t>Average gross wage</t>
  </si>
  <si>
    <t>average_wage</t>
  </si>
  <si>
    <t>Q_prototypes</t>
  </si>
  <si>
    <t>Design</t>
  </si>
  <si>
    <t>Aircraft</t>
  </si>
  <si>
    <t>Factory</t>
  </si>
  <si>
    <t>Prototype</t>
  </si>
  <si>
    <t>RPA design (k€)</t>
  </si>
  <si>
    <t>RPA development- Man.Years</t>
  </si>
  <si>
    <t>RPA conceptual design - Man.Years</t>
  </si>
  <si>
    <t>RPA detailed design - Man.Years</t>
  </si>
  <si>
    <t>RPA manufacturing - Man.Years</t>
  </si>
  <si>
    <t>RPA integration &amp; verification - Man.Years</t>
  </si>
  <si>
    <t>PGA development Man.Years</t>
  </si>
  <si>
    <t>LLA development Man.Years</t>
  </si>
  <si>
    <t>subtotal 1</t>
  </si>
  <si>
    <t>subtotal 2</t>
  </si>
  <si>
    <t>Total 3</t>
  </si>
  <si>
    <t>Total 4 / Key result</t>
  </si>
  <si>
    <t>Man hours for AP3</t>
  </si>
  <si>
    <t>Comments</t>
  </si>
  <si>
    <t>Assumptions</t>
  </si>
  <si>
    <t>Indicators</t>
  </si>
  <si>
    <t>AWES Capex, €/W</t>
  </si>
  <si>
    <t>indicator_nr</t>
  </si>
  <si>
    <t>indicators</t>
  </si>
  <si>
    <t>indicator</t>
  </si>
  <si>
    <t>indicator_value</t>
  </si>
  <si>
    <t>km2</t>
  </si>
  <si>
    <t>Park Capex, €/W</t>
  </si>
  <si>
    <t>AWES Capex, M€</t>
  </si>
  <si>
    <t>Park Capex, M€</t>
  </si>
  <si>
    <t>park_size</t>
  </si>
  <si>
    <t>park_size_nr</t>
  </si>
  <si>
    <t>RPA mass, kg/m2</t>
  </si>
  <si>
    <t>RPA mass, kg/kW</t>
  </si>
  <si>
    <t>O&amp;M</t>
  </si>
  <si>
    <t>Site security &amp; cleaning</t>
  </si>
  <si>
    <t>Site rental</t>
  </si>
  <si>
    <t>Insurance</t>
  </si>
  <si>
    <t>Local Taxes</t>
  </si>
  <si>
    <t>Administrative Management services</t>
  </si>
  <si>
    <t>Political Risk Insurance</t>
  </si>
  <si>
    <t>Contingencies &amp; other costs</t>
  </si>
  <si>
    <t>k€/MWp</t>
  </si>
  <si>
    <t>% rev.</t>
  </si>
  <si>
    <t>Elec_price</t>
  </si>
  <si>
    <t xml:space="preserve"> = AEP</t>
  </si>
  <si>
    <t>MWh/yr</t>
  </si>
  <si>
    <t>AWES Annual Energy Production</t>
  </si>
  <si>
    <t>Park AEP</t>
  </si>
  <si>
    <t>Park Revenues</t>
  </si>
  <si>
    <t>Revenues</t>
  </si>
  <si>
    <t>Park Power</t>
  </si>
  <si>
    <t>AWES_power</t>
  </si>
  <si>
    <t>AWES_power_nr</t>
  </si>
  <si>
    <t>AWES_powers</t>
  </si>
  <si>
    <t>park_sizes</t>
  </si>
  <si>
    <t>Tp_level</t>
  </si>
  <si>
    <t>P_level</t>
  </si>
  <si>
    <t>P_level_nr</t>
  </si>
  <si>
    <t>P_levels</t>
  </si>
  <si>
    <t>Tp_levels</t>
  </si>
  <si>
    <t>Tp_level_nr</t>
  </si>
  <si>
    <t>Tt_level</t>
  </si>
  <si>
    <t>Tt_level_nr</t>
  </si>
  <si>
    <t>Tt_levels</t>
  </si>
  <si>
    <t>P_level_override</t>
  </si>
  <si>
    <t>Tp_level_override</t>
  </si>
  <si>
    <t>Tt_level_override</t>
  </si>
  <si>
    <t>Tmax_p_ratio</t>
  </si>
  <si>
    <t>RPA mass, t</t>
  </si>
  <si>
    <t>N_override</t>
  </si>
  <si>
    <t>Capex (single AWES)</t>
  </si>
  <si>
    <t>Parts replacement (single AWES)</t>
  </si>
  <si>
    <t>Capex reference wing area</t>
  </si>
  <si>
    <t>Capex reference series  size</t>
  </si>
  <si>
    <t>Park BOP Capex reference park size</t>
  </si>
  <si>
    <t>Transport LLA+PGA</t>
  </si>
  <si>
    <t>BOP Capex</t>
  </si>
  <si>
    <t>Park BOP Opex</t>
  </si>
  <si>
    <t>Park BOP opex reference (30 units park)</t>
  </si>
  <si>
    <t>% Park</t>
  </si>
  <si>
    <t>Capex</t>
  </si>
  <si>
    <t>Park Opex, €/kW.yr</t>
  </si>
  <si>
    <t>Spare parts, % opex</t>
  </si>
  <si>
    <t>X_axis</t>
  </si>
  <si>
    <t>Y_axis</t>
  </si>
  <si>
    <t>Series size</t>
  </si>
  <si>
    <t>Plane Tmax</t>
  </si>
  <si>
    <t>X_axis_nr</t>
  </si>
  <si>
    <t>Y_axis_nr</t>
  </si>
  <si>
    <t>Drivers</t>
  </si>
  <si>
    <t>Axis</t>
  </si>
  <si>
    <t>drivers</t>
  </si>
  <si>
    <t>units</t>
  </si>
  <si>
    <t>X_axis_value</t>
  </si>
  <si>
    <t>Y_axis_value</t>
  </si>
  <si>
    <t>Transport RPA</t>
  </si>
  <si>
    <t>Tether strength</t>
  </si>
  <si>
    <t>BOP Capex, % capex</t>
  </si>
  <si>
    <t>BOP Capex, €/W</t>
  </si>
  <si>
    <t>Spare parts, €/kW.yr</t>
  </si>
  <si>
    <t>BOP Opex, €/kW.yr</t>
  </si>
  <si>
    <t>BOP Opex, % opex</t>
  </si>
  <si>
    <t>Plane mass</t>
  </si>
  <si>
    <t>Reference sizes</t>
  </si>
  <si>
    <t>X-Axis</t>
  </si>
  <si>
    <t>Y-Axis</t>
  </si>
  <si>
    <t>Indicator</t>
  </si>
  <si>
    <t>RPA development - TFEs</t>
  </si>
  <si>
    <t>PGA development - TFEs</t>
  </si>
  <si>
    <t>LLA development - TFEs</t>
  </si>
  <si>
    <t>Other  - Man.years</t>
  </si>
  <si>
    <t>Cost for 1 prototype</t>
  </si>
  <si>
    <t xml:space="preserve"> = wing_area</t>
  </si>
  <si>
    <t>Plane size</t>
  </si>
  <si>
    <t>Number of prototypes</t>
  </si>
  <si>
    <t xml:space="preserve"> =Q_prototype</t>
  </si>
  <si>
    <t>Man.years</t>
  </si>
  <si>
    <t>Level</t>
  </si>
  <si>
    <t>FTEs</t>
  </si>
  <si>
    <t>RPA development - Man.Years</t>
  </si>
  <si>
    <t>RPA development - Expenses</t>
  </si>
  <si>
    <t>Man.Years</t>
  </si>
  <si>
    <t>PGA development - Man.Years</t>
  </si>
  <si>
    <t>PGA development - Expenses</t>
  </si>
  <si>
    <t>LLA development - Expenses</t>
  </si>
  <si>
    <t>LLA development - Man.Years</t>
  </si>
  <si>
    <t>Other - Man.Years</t>
  </si>
  <si>
    <t>Other - Expenses</t>
  </si>
  <si>
    <t>Integration &amp; Verification</t>
  </si>
  <si>
    <t>Other</t>
  </si>
  <si>
    <t>% per semester</t>
  </si>
  <si>
    <t>Subtotals (for analysis)</t>
  </si>
  <si>
    <t>Total Man.Years</t>
  </si>
  <si>
    <t>Expenses</t>
  </si>
  <si>
    <t>Total staff costs</t>
  </si>
  <si>
    <t>Staff costs</t>
  </si>
  <si>
    <t>Sem/Year</t>
  </si>
  <si>
    <t>man.yr</t>
  </si>
  <si>
    <t>Subtotals</t>
  </si>
  <si>
    <t>avg_wind_speed</t>
  </si>
  <si>
    <t>Average wind speed</t>
  </si>
  <si>
    <t>Comment</t>
  </si>
  <si>
    <t>Development Cost</t>
  </si>
  <si>
    <t>M€</t>
  </si>
  <si>
    <t>Cumulated cost</t>
  </si>
  <si>
    <t>Cumulated cost+WACC</t>
  </si>
  <si>
    <t>Production rampup</t>
  </si>
  <si>
    <t>% plateau</t>
  </si>
  <si>
    <t>Production</t>
  </si>
  <si>
    <t>Development Costs</t>
  </si>
  <si>
    <t>% series target</t>
  </si>
  <si>
    <t>Yr 5-10 total</t>
  </si>
  <si>
    <t>Dev cost per unit (including WACC)</t>
  </si>
  <si>
    <t>% AWES Capex</t>
  </si>
  <si>
    <t>AWES_capex</t>
  </si>
  <si>
    <t>Dev cost, % AWES Capex</t>
  </si>
  <si>
    <t>Dev cost, M€</t>
  </si>
  <si>
    <t>l</t>
  </si>
  <si>
    <t>Park Opex, M€/yr</t>
  </si>
  <si>
    <t>Park annual capex, M€/yr</t>
  </si>
  <si>
    <t>Capacity factor, %</t>
  </si>
  <si>
    <t>Ampyx WACC</t>
  </si>
  <si>
    <t>Project WACC</t>
  </si>
  <si>
    <t>Project_WACC</t>
  </si>
  <si>
    <t>Ampyx_WACC</t>
  </si>
  <si>
    <t>AWES Capex margin</t>
  </si>
  <si>
    <t>Spare parts margin</t>
  </si>
  <si>
    <t>SP_margin</t>
  </si>
  <si>
    <t>AWES_margin</t>
  </si>
  <si>
    <t>Inflation</t>
  </si>
  <si>
    <t>inflation</t>
  </si>
  <si>
    <t>M€/yr</t>
  </si>
  <si>
    <t>Rated power</t>
  </si>
  <si>
    <t>GWh/yr</t>
  </si>
  <si>
    <t>NPV</t>
  </si>
  <si>
    <t>Tether mass, kg</t>
  </si>
  <si>
    <t>Series tether mass, t</t>
  </si>
  <si>
    <t>LCOE (with margin), €/MWh</t>
  </si>
  <si>
    <t>Ampyx_WACC_override</t>
  </si>
  <si>
    <t>Project_WACC_override</t>
  </si>
  <si>
    <t>Ampyx_WACC_selected</t>
  </si>
  <si>
    <t>Project_WACC_selected</t>
  </si>
  <si>
    <t>Project_WACC_nr</t>
  </si>
  <si>
    <t>Ampyx_WACC_nr</t>
  </si>
  <si>
    <t>Ampyx_WACCs</t>
  </si>
  <si>
    <t>Project_WACCs</t>
  </si>
  <si>
    <t>Park_AEP</t>
  </si>
  <si>
    <t>Desired pattern elevation</t>
  </si>
  <si>
    <t>NOTE: Elevation must be sufficiently greater than pattern angular radius to ensure minimal height</t>
  </si>
  <si>
    <t>Minimal height</t>
  </si>
  <si>
    <t>Can be computed with minimal height and minimal tether length (to be done)</t>
  </si>
  <si>
    <t>Clmax airfoil</t>
  </si>
  <si>
    <t>Clmax efficiency</t>
  </si>
  <si>
    <t>Solver</t>
  </si>
  <si>
    <t>Plane design Tmax, kN</t>
  </si>
  <si>
    <t>Tether Tmax, kN</t>
  </si>
  <si>
    <t>Capex margin</t>
  </si>
  <si>
    <t>SP_margin_overide</t>
  </si>
  <si>
    <t>AWES_margin_overide</t>
  </si>
  <si>
    <t>AWES_margin_selected</t>
  </si>
  <si>
    <t>SP_margin_selected</t>
  </si>
  <si>
    <t>AWES_margin_nr</t>
  </si>
  <si>
    <t>AWES_margins</t>
  </si>
  <si>
    <t>SP_margin_nr</t>
  </si>
  <si>
    <t>SP_margins</t>
  </si>
  <si>
    <t>yrs</t>
  </si>
  <si>
    <t>Ampyx Costs, % LCOE (with margins)</t>
  </si>
  <si>
    <t>Ampyx Margin, % LCOE (with margins)</t>
  </si>
  <si>
    <t>Ampyx Sales, % LCOE (with margins)</t>
  </si>
  <si>
    <t>LCOE (no margin), % LCOE (with margins)</t>
  </si>
  <si>
    <t>Ampyx Costs, €/MWh</t>
  </si>
  <si>
    <t>Ampyx Margin, €/MWh</t>
  </si>
  <si>
    <t>Ampyx Sales, €/MWh</t>
  </si>
  <si>
    <t>LCOE (no margin), €/MWh</t>
  </si>
  <si>
    <t>Rated power, MW</t>
  </si>
  <si>
    <t>Override input</t>
  </si>
  <si>
    <t>Override values</t>
  </si>
  <si>
    <t>AEP, GWh/yr</t>
  </si>
  <si>
    <t>Tax credit for R&amp;D</t>
  </si>
  <si>
    <t>BOP Onshore</t>
  </si>
  <si>
    <t>L</t>
  </si>
  <si>
    <t>Array electrical cables</t>
  </si>
  <si>
    <t>Offshore</t>
  </si>
  <si>
    <t>BOP Offshore</t>
  </si>
  <si>
    <t>Onshore</t>
  </si>
  <si>
    <t>% of base power</t>
  </si>
  <si>
    <t>% of base design strenght</t>
  </si>
  <si>
    <t>% of base tether strenght</t>
  </si>
  <si>
    <t>Port rental</t>
  </si>
  <si>
    <t>PSV</t>
  </si>
  <si>
    <t>Year</t>
  </si>
  <si>
    <t>Procurement</t>
  </si>
  <si>
    <t>Total costs</t>
  </si>
  <si>
    <t>Offset</t>
  </si>
  <si>
    <t>Park Offshore Extra Opex</t>
  </si>
  <si>
    <t>Base Case 2030 - 8m/s</t>
  </si>
  <si>
    <t>Base Case 2030 - 10m/s</t>
  </si>
  <si>
    <t>Simple components as % of total Mass</t>
  </si>
  <si>
    <t>MW/unit</t>
  </si>
  <si>
    <t>AWES</t>
  </si>
  <si>
    <t>Opex</t>
  </si>
  <si>
    <t>Yield</t>
  </si>
  <si>
    <t>Wh/W.yr</t>
  </si>
  <si>
    <t>System specification</t>
  </si>
  <si>
    <t>Performance</t>
  </si>
  <si>
    <t>Parts</t>
  </si>
  <si>
    <t>BOP</t>
  </si>
  <si>
    <t>CO2 savings</t>
  </si>
  <si>
    <t>Net CO2 impact</t>
  </si>
  <si>
    <t>t CO2 equivent</t>
  </si>
  <si>
    <t>t/GWh</t>
  </si>
  <si>
    <t>€/t CO2 equiv.</t>
  </si>
  <si>
    <t>M€/yr*</t>
  </si>
  <si>
    <t>CO2 emissions</t>
  </si>
  <si>
    <t>*:  on park lifetime</t>
  </si>
  <si>
    <t>kt/yr</t>
  </si>
  <si>
    <r>
      <t>Mt</t>
    </r>
    <r>
      <rPr>
        <i/>
        <sz val="10"/>
        <color theme="1"/>
        <rFont val="Open Sans"/>
        <family val="2"/>
      </rPr>
      <t>*</t>
    </r>
  </si>
  <si>
    <r>
      <t>M€</t>
    </r>
    <r>
      <rPr>
        <i/>
        <sz val="10"/>
        <color theme="1"/>
        <rFont val="Open Sans"/>
        <family val="2"/>
      </rPr>
      <t>*</t>
    </r>
  </si>
  <si>
    <t>€/W.yr</t>
  </si>
  <si>
    <t>*: annual capital charge, using project WACC</t>
  </si>
  <si>
    <r>
      <t xml:space="preserve">CO2 value 
</t>
    </r>
    <r>
      <rPr>
        <i/>
        <sz val="10"/>
        <color theme="1"/>
        <rFont val="Open Sans"/>
        <family val="2"/>
      </rPr>
      <t>(@80 €/t CO2 equiv)</t>
    </r>
  </si>
  <si>
    <t>% AWES</t>
  </si>
  <si>
    <t>% spare parts</t>
  </si>
  <si>
    <t>% Parts</t>
  </si>
  <si>
    <t>% Capex</t>
  </si>
  <si>
    <t>% Opex</t>
  </si>
  <si>
    <t>M€ (NPV)</t>
  </si>
  <si>
    <t>€/W (NPV)</t>
  </si>
  <si>
    <t>Grid connection &amp; transmission</t>
  </si>
  <si>
    <t>Transport, installation &amp; commissioning</t>
  </si>
  <si>
    <t>LCOE (no margin)</t>
  </si>
  <si>
    <t>AWES Margin</t>
  </si>
  <si>
    <t>Parts Margin</t>
  </si>
  <si>
    <t>LCOE (with margin)</t>
  </si>
  <si>
    <t>Foundations and site preparation</t>
  </si>
  <si>
    <t>Grid</t>
  </si>
  <si>
    <t>Site</t>
  </si>
  <si>
    <t>Park BOP</t>
  </si>
  <si>
    <t>Park Service Vehicle</t>
  </si>
  <si>
    <t>Parts replacement (Park)</t>
  </si>
  <si>
    <t>LCOE Analysis</t>
  </si>
  <si>
    <t>O&amp;M, asset management, insurance…</t>
  </si>
  <si>
    <t>Remotely piloted aircraft</t>
  </si>
  <si>
    <t>Power generation apparatus</t>
  </si>
  <si>
    <t>Launch and land apparatus</t>
  </si>
  <si>
    <t>Airborne Wind Energy System</t>
  </si>
  <si>
    <t>Balance of Plant</t>
  </si>
  <si>
    <t>Capital Expenditure</t>
  </si>
  <si>
    <t>Spare parts remplacements</t>
  </si>
  <si>
    <t>Balance of plant</t>
  </si>
  <si>
    <t>Operating expenditure</t>
  </si>
  <si>
    <t>Capital charge*</t>
  </si>
  <si>
    <t>BOP, % LCOE (with margins)</t>
  </si>
  <si>
    <t>% LCOE</t>
  </si>
  <si>
    <t>Project horizon</t>
  </si>
  <si>
    <t>horizon_override</t>
  </si>
  <si>
    <t>Horizons</t>
  </si>
  <si>
    <t>Horizon_nr</t>
  </si>
  <si>
    <t>Horizon_selected</t>
  </si>
  <si>
    <t>Cashflow</t>
  </si>
  <si>
    <t>IRR</t>
  </si>
  <si>
    <t>Project Business Plan</t>
  </si>
  <si>
    <t>CO2 Impact</t>
  </si>
  <si>
    <t>LCOE, €/MWh</t>
  </si>
  <si>
    <t>Opex (with margin), €/W.yr</t>
  </si>
  <si>
    <t>Capex (with margin), €/W</t>
  </si>
  <si>
    <t>scale factor</t>
  </si>
  <si>
    <t>12-&gt;60</t>
  </si>
  <si>
    <t>12-&gt;150</t>
  </si>
  <si>
    <t>60-&gt;150</t>
  </si>
  <si>
    <t>Price k€/m2</t>
  </si>
  <si>
    <t>scaling_factors</t>
  </si>
  <si>
    <t>scaling_factor_selected</t>
  </si>
  <si>
    <t>scaling_factor_nr</t>
  </si>
  <si>
    <t>experience_factor_selected</t>
  </si>
  <si>
    <t>experience_factor_nr</t>
  </si>
  <si>
    <t>experience_factors</t>
  </si>
  <si>
    <t>€/MW</t>
  </si>
  <si>
    <t>Units</t>
  </si>
  <si>
    <t>-</t>
  </si>
  <si>
    <t>AEP_noElecLoss</t>
  </si>
  <si>
    <t>AEP per system with Opex downtime</t>
  </si>
  <si>
    <t>AEP_inclDowntime</t>
  </si>
  <si>
    <t>System downtime due to opex per year</t>
  </si>
  <si>
    <t>h</t>
  </si>
  <si>
    <t>yearlyDowntime</t>
  </si>
  <si>
    <t>Man hours/year</t>
  </si>
  <si>
    <t>hr/year</t>
  </si>
  <si>
    <r>
      <t xml:space="preserve">Generator efficiency if selected </t>
    </r>
    <r>
      <rPr>
        <b/>
        <sz val="10"/>
        <color theme="1"/>
        <rFont val="Nunito Light"/>
      </rPr>
      <t>C</t>
    </r>
    <r>
      <rPr>
        <sz val="10"/>
        <color theme="1"/>
        <rFont val="Nunito Light"/>
      </rPr>
      <t>onstant:</t>
    </r>
  </si>
  <si>
    <t>multiwingapproach</t>
  </si>
  <si>
    <t>Wing</t>
  </si>
  <si>
    <t>Rated Wind</t>
  </si>
  <si>
    <t>AEP only mechanical power</t>
  </si>
  <si>
    <t>Mechanical power</t>
  </si>
  <si>
    <t>Floater cost</t>
  </si>
  <si>
    <t>Mooring cost</t>
  </si>
  <si>
    <t>Power ratio</t>
  </si>
  <si>
    <t>Offshore: SAF floator, &gt;2MW same ' for BVG ealry/late cases NOV floater usedfloater</t>
  </si>
  <si>
    <t>Floater Installation cost</t>
  </si>
  <si>
    <t>NOV Floater data</t>
  </si>
  <si>
    <t>normal calculation</t>
  </si>
  <si>
    <t>special calculation different to nearby cells</t>
  </si>
  <si>
    <t>Rated Power</t>
  </si>
  <si>
    <t>€/¤</t>
  </si>
  <si>
    <t>Reference cost</t>
  </si>
  <si>
    <t>Ref Size</t>
  </si>
  <si>
    <t>Scenario Size</t>
  </si>
  <si>
    <t>Scenario Cost</t>
  </si>
  <si>
    <t>Reference Unit Cost</t>
  </si>
  <si>
    <t>Scenario Unit Cost</t>
  </si>
  <si>
    <t xml:space="preserve">T0 </t>
  </si>
  <si>
    <r>
      <t>S</t>
    </r>
    <r>
      <rPr>
        <sz val="9"/>
        <rFont val="Nunito Light"/>
      </rPr>
      <t>n</t>
    </r>
  </si>
  <si>
    <r>
      <t>U</t>
    </r>
    <r>
      <rPr>
        <sz val="9"/>
        <rFont val="Nunito Light"/>
      </rPr>
      <t>n</t>
    </r>
  </si>
  <si>
    <r>
      <t>Reference Mass (M</t>
    </r>
    <r>
      <rPr>
        <sz val="9"/>
        <rFont val="Nunito Light"/>
      </rPr>
      <t>0</t>
    </r>
    <r>
      <rPr>
        <sz val="10"/>
        <rFont val="Nunito Light"/>
      </rPr>
      <t>)</t>
    </r>
  </si>
  <si>
    <r>
      <t>Scenario Mass (M</t>
    </r>
    <r>
      <rPr>
        <sz val="9"/>
        <rFont val="Nunito Light"/>
      </rPr>
      <t>n</t>
    </r>
    <r>
      <rPr>
        <sz val="10"/>
        <rFont val="Nunito Light"/>
      </rPr>
      <t>)</t>
    </r>
  </si>
  <si>
    <r>
      <t>T</t>
    </r>
    <r>
      <rPr>
        <sz val="9"/>
        <rFont val="Nunito Light"/>
      </rPr>
      <t>0</t>
    </r>
    <r>
      <rPr>
        <sz val="10"/>
        <rFont val="Nunito Light"/>
      </rPr>
      <t xml:space="preserve"> (k€)</t>
    </r>
  </si>
  <si>
    <r>
      <t>T</t>
    </r>
    <r>
      <rPr>
        <sz val="9"/>
        <rFont val="Nunito Light"/>
      </rPr>
      <t>n</t>
    </r>
    <r>
      <rPr>
        <sz val="10"/>
        <rFont val="Nunito Light"/>
      </rPr>
      <t xml:space="preserve"> (k€)</t>
    </r>
  </si>
  <si>
    <t>Control center (fixed)</t>
  </si>
  <si>
    <t>Control center (variable)</t>
  </si>
  <si>
    <t>Reference Total Cost</t>
  </si>
  <si>
    <t>Scenario Total Cost</t>
  </si>
  <si>
    <t>Foundation (if not floating)</t>
  </si>
  <si>
    <t>Floater (if floating)</t>
  </si>
  <si>
    <t>Mooring (if floating)</t>
  </si>
  <si>
    <t>Park cable lenght</t>
  </si>
  <si>
    <t>% BOP</t>
  </si>
  <si>
    <t>Offshore Unit BOP capex (scaling by unit size. Reference 5 MW unit)</t>
  </si>
  <si>
    <r>
      <t>Offshore Park BOP Capex</t>
    </r>
    <r>
      <rPr>
        <i/>
        <sz val="10"/>
        <rFont val="Nunito Light"/>
      </rPr>
      <t xml:space="preserve"> (scaling by park size. Reference : 30 units park)</t>
    </r>
  </si>
  <si>
    <r>
      <t xml:space="preserve">AWES Capex </t>
    </r>
    <r>
      <rPr>
        <i/>
        <sz val="10"/>
        <rFont val="Nunito Light"/>
      </rPr>
      <t>(scaling by unit size. Reference = 90 m2, 35 units cumulative production)</t>
    </r>
  </si>
  <si>
    <t>Ref experience</t>
  </si>
  <si>
    <t>Scenario experience</t>
  </si>
  <si>
    <t>Cumulated production quantity size</t>
  </si>
  <si>
    <t>Offshore cum production</t>
  </si>
  <si>
    <t>Qoffshore</t>
  </si>
  <si>
    <t>Low Case 2026 - 8m/s</t>
  </si>
  <si>
    <r>
      <t>Scaling by experience</t>
    </r>
    <r>
      <rPr>
        <sz val="10"/>
        <rFont val="Nunito Light"/>
      </rPr>
      <t xml:space="preserve"> </t>
    </r>
    <r>
      <rPr>
        <i/>
        <sz val="10"/>
        <rFont val="Nunito Light"/>
      </rPr>
      <t>(ref = 35 units)</t>
    </r>
  </si>
  <si>
    <r>
      <t>Scaling by experience</t>
    </r>
    <r>
      <rPr>
        <sz val="10"/>
        <rFont val="Nunito Light"/>
      </rPr>
      <t xml:space="preserve"> </t>
    </r>
    <r>
      <rPr>
        <i/>
        <sz val="10"/>
        <rFont val="Nunito Light"/>
      </rPr>
      <t>(ref = 100 units offshore)</t>
    </r>
  </si>
  <si>
    <r>
      <t>Onshore Park BOP Capex</t>
    </r>
    <r>
      <rPr>
        <i/>
        <sz val="10"/>
        <rFont val="Nunito Light"/>
      </rPr>
      <t xml:space="preserve"> (scaling by park size. Reference : 30 units park)</t>
    </r>
  </si>
  <si>
    <t>Floater</t>
  </si>
  <si>
    <t>Mooring</t>
  </si>
  <si>
    <t>offshore 384k€/MW for SAF</t>
  </si>
  <si>
    <t>Onshore:3 km Cabling to grid 125-750 kEuro/km, average 325kEuro @ 37 MW</t>
  </si>
  <si>
    <t>Capex Summary</t>
  </si>
  <si>
    <t>Manpower costs</t>
  </si>
  <si>
    <t>Total Cost</t>
  </si>
  <si>
    <r>
      <t>Scaling by park size</t>
    </r>
    <r>
      <rPr>
        <i/>
        <sz val="10"/>
        <rFont val="Nunito Light"/>
      </rPr>
      <t xml:space="preserve"> (reference: 30 units)</t>
    </r>
  </si>
  <si>
    <t>Tn (k€/yr)</t>
  </si>
  <si>
    <t>Spare parts Opex</t>
  </si>
  <si>
    <t>% BOP opex</t>
  </si>
  <si>
    <t>% Park Opex</t>
  </si>
  <si>
    <t>Cost per intervention</t>
  </si>
  <si>
    <t>Scaling model</t>
  </si>
  <si>
    <t xml:space="preserve"> --&gt; See the "Scaling Model Principles" documentation</t>
  </si>
  <si>
    <t>Overall scale factor estimate</t>
  </si>
  <si>
    <t>k€/kg.unit</t>
  </si>
  <si>
    <t>k€/kN.unit</t>
  </si>
  <si>
    <r>
      <t xml:space="preserve">Onshore Unit BOP capex </t>
    </r>
    <r>
      <rPr>
        <i/>
        <sz val="10"/>
        <rFont val="Nunito Light"/>
      </rPr>
      <t>(scaling by unit size. Reference 1.35 MW unit - 90m2)</t>
    </r>
  </si>
  <si>
    <t>Design tension</t>
  </si>
  <si>
    <t>Inputs</t>
  </si>
  <si>
    <t>t</t>
  </si>
  <si>
    <t>Solver_wingarea</t>
  </si>
  <si>
    <t>Solver_Tmax</t>
  </si>
  <si>
    <t>Solver_P</t>
  </si>
  <si>
    <t>Scenario values</t>
  </si>
  <si>
    <t>Late</t>
  </si>
  <si>
    <t>Extreme</t>
  </si>
  <si>
    <t>Magic Ratio</t>
  </si>
  <si>
    <t>Tether Tmax Ratio</t>
  </si>
  <si>
    <t>Power ratio, % base</t>
  </si>
  <si>
    <t>Tension ratio, % base</t>
  </si>
  <si>
    <t>Tension ratio</t>
  </si>
  <si>
    <t xml:space="preserve">  ---&gt; update this value in the scenario tab</t>
  </si>
  <si>
    <t>Early manual</t>
  </si>
  <si>
    <t>Early solver</t>
  </si>
  <si>
    <t>Current scenario</t>
  </si>
  <si>
    <t>Base 8m/s</t>
  </si>
  <si>
    <t>High 10m/s</t>
  </si>
  <si>
    <t>Best 12m/s</t>
  </si>
  <si>
    <t>Best 10m/s</t>
  </si>
  <si>
    <t>BVG Study</t>
  </si>
  <si>
    <t>Business Plan</t>
  </si>
  <si>
    <t>M€**</t>
  </si>
  <si>
    <t>€/W**</t>
  </si>
  <si>
    <t>**: on an NPV basis, using WACC</t>
  </si>
  <si>
    <t>LCOE</t>
  </si>
  <si>
    <t>Parts Opex</t>
  </si>
  <si>
    <t>BOP Opex</t>
  </si>
  <si>
    <t>Ampyx Margin</t>
  </si>
  <si>
    <t>AEP : annual energy production</t>
  </si>
  <si>
    <t>Best Case AP5 - Onshore 2040 - 10m/s</t>
  </si>
  <si>
    <t>High Case AP6 Offshore 2035 - 12m/s</t>
  </si>
  <si>
    <t>High Case AP5 Onshore - 2035 - 8m/s</t>
  </si>
  <si>
    <t>High Case AP5 Onshore - 2035 - 10m/s</t>
  </si>
  <si>
    <t>Best Case AP6 Offshore 2040 - 12m/s</t>
  </si>
  <si>
    <t>BOP Capex, €/MWh</t>
  </si>
  <si>
    <t>RPA structure mass, t</t>
  </si>
  <si>
    <t>Version</t>
  </si>
  <si>
    <t>Date</t>
  </si>
  <si>
    <t>Author</t>
  </si>
  <si>
    <t>Checked by</t>
  </si>
  <si>
    <t>Approved by</t>
  </si>
  <si>
    <t>Version notes</t>
  </si>
  <si>
    <t>2021-03-05</t>
  </si>
  <si>
    <t>FN</t>
  </si>
  <si>
    <t>Initial controlled version.
Roadmap is now more coherent with the following story:
    AP4 – onshore, 80m2, 1 MW launched in 2026,
    AP5 – onshore, 200m2, 3 MW  launched in 2029 à upgraded to 4 MW by 2040 (same wing area)
    AP6 – offshore, 300m2, 5 MW  launched in 2032 à upgraded to 8 MW by 2040 (same wing area)
Note that the AP6 number are now coherent with the BVG study.</t>
  </si>
  <si>
    <t>2021-03-08 IG</t>
  </si>
  <si>
    <t>IG</t>
  </si>
  <si>
    <t>Added 'Version history' sheet.
Adjusted 'BVG data request sheet' formulas.
Added floater and mooring weights to 'Scenarios'
Updated BVG early and late cases in 'Scenarios' to 5 and 8 MW for a 300m2 wing.</t>
  </si>
  <si>
    <t>2021-04-06 IG</t>
  </si>
  <si>
    <t>Floater topside equipment mass</t>
  </si>
  <si>
    <t>Floater steel mass rounded</t>
  </si>
  <si>
    <t>Mooring steel (incl. anchors) rounded</t>
  </si>
  <si>
    <t>How to use this LCoE Analysis:</t>
  </si>
  <si>
    <t>• This is just a calculations sheet, showing the results of the main parameters for the selected scenario.</t>
  </si>
  <si>
    <t>How to use this 'Solver':</t>
  </si>
  <si>
    <t>How to use this 'Lists' sheet:</t>
  </si>
  <si>
    <t>Overrides dashboard</t>
  </si>
  <si>
    <t>greenfield</t>
  </si>
  <si>
    <t>offshore</t>
  </si>
  <si>
    <t>offshore_floating</t>
  </si>
  <si>
    <t>How to use this 'Overrides' sheet:</t>
  </si>
  <si>
    <t>Horizon</t>
  </si>
  <si>
    <t>Experience_factor</t>
  </si>
  <si>
    <t>Scaling_factor</t>
  </si>
  <si>
    <t>Park_size</t>
  </si>
  <si>
    <t>Quantity</t>
  </si>
  <si>
    <t>Avg_wind_speed</t>
  </si>
  <si>
    <t>Scenario_size</t>
  </si>
  <si>
    <t>Override value</t>
  </si>
  <si>
    <t>How to use this 'Inputs' sheet:</t>
  </si>
  <si>
    <t>• For any of the columns, select the desired value to override the parameter on the active scenario.</t>
  </si>
  <si>
    <t>• Remember to add description of source/assumption…</t>
  </si>
  <si>
    <t>• In any of the tabs' boxes, a red flag indicates a parameter being overriden.</t>
  </si>
  <si>
    <t>How to use this 'Analysis' sheet:</t>
  </si>
  <si>
    <t>• Clear all the green cells in the "Solver" tab</t>
  </si>
  <si>
    <t>• Select an indicator, an X-axis and Y-axis driver, and press F9 if needed to refresh table</t>
  </si>
  <si>
    <t>• Set these 2 combo boxes to blank if you are working anywhere else in the document (overrides will not work if they are a X- or Y-axis driver)</t>
  </si>
  <si>
    <t>LCoE w/margin</t>
  </si>
  <si>
    <t>Capacity Factor</t>
  </si>
  <si>
    <t>Avg. wind</t>
  </si>
  <si>
    <t>Selections</t>
  </si>
  <si>
    <t>Selections:</t>
  </si>
  <si>
    <t>• Define scenarios in columns L through W</t>
  </si>
  <si>
    <t>• Some resulting parameters for the selected scenario are shown in column D. These values are used throughout the workbook calculations.</t>
  </si>
  <si>
    <t>link to manual input</t>
  </si>
  <si>
    <t>• Change or add any input value on th egreen cells.</t>
  </si>
  <si>
    <t>• If you are not using the solver, make sure all the green cells are empty</t>
  </si>
  <si>
    <t>• Input values in the green cells that you want to optimise with the solver. Values in the green cells here will override all other values (from matrix, from combo overrides and from scenarios).</t>
  </si>
  <si>
    <t>• First cut and paste the blue scenario values into the green cells, then click the desired solver button (not working)</t>
  </si>
  <si>
    <r>
      <t xml:space="preserve">• Finally  cut and paste the green and yellow values into the grey cells for future reference. </t>
    </r>
    <r>
      <rPr>
        <b/>
        <sz val="10"/>
        <color theme="1"/>
        <rFont val="Open Sans"/>
        <family val="2"/>
      </rPr>
      <t>Remember to clear out the green cells before making any other simulation in the Analysis tab</t>
    </r>
  </si>
  <si>
    <r>
      <t>W</t>
    </r>
    <r>
      <rPr>
        <vertAlign val="subscript"/>
        <sz val="10"/>
        <color rgb="FF00B050"/>
        <rFont val="Nunito Light"/>
      </rPr>
      <t>O</t>
    </r>
  </si>
  <si>
    <r>
      <t>Q</t>
    </r>
    <r>
      <rPr>
        <vertAlign val="subscript"/>
        <sz val="10"/>
        <color rgb="FF00B050"/>
        <rFont val="Nunito Light"/>
      </rPr>
      <t>o</t>
    </r>
  </si>
  <si>
    <r>
      <t>N</t>
    </r>
    <r>
      <rPr>
        <vertAlign val="subscript"/>
        <sz val="10"/>
        <color rgb="FF00B050"/>
        <rFont val="Nunito Light"/>
      </rPr>
      <t>O</t>
    </r>
  </si>
  <si>
    <t>#units</t>
  </si>
  <si>
    <t>Multi-wing span reduction</t>
  </si>
  <si>
    <t>Notes</t>
  </si>
  <si>
    <t>Onshore square park area factor</t>
  </si>
  <si>
    <t>Square area</t>
  </si>
  <si>
    <t>Generator - sizing unit</t>
  </si>
  <si>
    <t>Generator - reference size</t>
  </si>
  <si>
    <t>Generator - hydraulic ref. unit cost</t>
  </si>
  <si>
    <t>Generator - electric ref. unit cost</t>
  </si>
  <si>
    <t>Generator - mechanic ref. unit cost</t>
  </si>
  <si>
    <t>Backend/front iface - sizing unit</t>
  </si>
  <si>
    <t>Backend/front iface - reference size</t>
  </si>
  <si>
    <t>Backend/front iface - hydraulic ref. unit cost</t>
  </si>
  <si>
    <t>Backend/front iface - electric ref. unit cost</t>
  </si>
  <si>
    <t>Backend/front iface - mechanic ref. unit cost</t>
  </si>
  <si>
    <t>Storage - sizing unit</t>
  </si>
  <si>
    <t>Storage - reference size</t>
  </si>
  <si>
    <t>Storage - hydraulic ref. unit cost</t>
  </si>
  <si>
    <t>Storage - electric ref. unit cost</t>
  </si>
  <si>
    <t>Storage - mechanic ref. unit cost</t>
  </si>
  <si>
    <t>Control electronics - sizing unit</t>
  </si>
  <si>
    <t>Control electronics - reference size</t>
  </si>
  <si>
    <t>Control electronics - hydraulic ref. unit cost</t>
  </si>
  <si>
    <t>Control electronics - electric ref. unit cost</t>
  </si>
  <si>
    <t>Control electronics - mechanic ref. unit cost</t>
  </si>
  <si>
    <t>Steelwork - sizing unit</t>
  </si>
  <si>
    <t>Steelwork - reference size</t>
  </si>
  <si>
    <t>Steelwork - hydraulic ref. unit cost</t>
  </si>
  <si>
    <t>Steelwork - electric ref. unit cost</t>
  </si>
  <si>
    <t>Steelwork - mechanic ref. unit cost</t>
  </si>
  <si>
    <t>Overriden in calc sheet</t>
  </si>
  <si>
    <t>generatorRefUnitCost</t>
  </si>
  <si>
    <t>backendRefUnitCost</t>
  </si>
  <si>
    <t>storageRefUnitCost</t>
  </si>
  <si>
    <t>ctrlElecRefUnitCost</t>
  </si>
  <si>
    <t>steelworkRefUnitCost</t>
  </si>
  <si>
    <t>Electronics - sizing unit</t>
  </si>
  <si>
    <t>Electronics - reference size</t>
  </si>
  <si>
    <t>Electronics - ref. unit cost</t>
  </si>
  <si>
    <t>Mechanisms - sizing unit</t>
  </si>
  <si>
    <t>Mechanisms - reference size</t>
  </si>
  <si>
    <t>Mechanisms - ref. unit cost</t>
  </si>
  <si>
    <t>Steelwork - ref. unit cost</t>
  </si>
  <si>
    <t>Steelwork - generic default unit cost</t>
  </si>
  <si>
    <t>HERO71 foam - ref.unit cost</t>
  </si>
  <si>
    <t>Coating - ref. unit cost</t>
  </si>
  <si>
    <t>Production - complex ref. unit cost</t>
  </si>
  <si>
    <t>Production - simple ref. unit cost</t>
  </si>
  <si>
    <t>Carbon prepreg - ref. unit cost</t>
  </si>
  <si>
    <t>1. GENERAL PARAMETERS</t>
  </si>
  <si>
    <t>2. CAPEX</t>
  </si>
  <si>
    <t>INPUTS SECTIONS INDEX</t>
  </si>
  <si>
    <t>Structure - sizing unit</t>
  </si>
  <si>
    <t>Structure - reference size</t>
  </si>
  <si>
    <t>Brackets - ref. unit cost</t>
  </si>
  <si>
    <t>Structure - experience factor</t>
  </si>
  <si>
    <t>2.1 RPA Capex reference sizes and costs</t>
  </si>
  <si>
    <t>2.1 RPA Capex Reference sizes and costs</t>
  </si>
  <si>
    <t>2.2 PGA Capex Reference sizes and costs</t>
  </si>
  <si>
    <t>2.3 LLA Capex Reference sizes and costs</t>
  </si>
  <si>
    <t>2.2 PGA Capex reference sizes and costs</t>
  </si>
  <si>
    <t>2.3 LLA Capex reference sizes and costs</t>
  </si>
  <si>
    <t>Rudder mechanisms - ref. total cost</t>
  </si>
  <si>
    <t>Elevator mechanisms - ref. total cost</t>
  </si>
  <si>
    <t>Aileron mechanisms - ref. total cost</t>
  </si>
  <si>
    <t>Flaperon mechanisms - ref. total cost</t>
  </si>
  <si>
    <t>Flap mechanisms - ref. total cost</t>
  </si>
  <si>
    <t>Spoileron mechanisms - ref. total cost</t>
  </si>
  <si>
    <t>Rudder actuators</t>
  </si>
  <si>
    <t>Elevator actuators</t>
  </si>
  <si>
    <t>Aileron actuators</t>
  </si>
  <si>
    <t>Flaperon actuators</t>
  </si>
  <si>
    <t>Flap actuators</t>
  </si>
  <si>
    <t>Spoileron actuators</t>
  </si>
  <si>
    <t>Rudder actuators - ref. unit cost</t>
  </si>
  <si>
    <t>Elevator actuators - ref. unit cost</t>
  </si>
  <si>
    <t>Aileron actuators - ref. unit cost</t>
  </si>
  <si>
    <t>Flaperon actuators - ref. unit cost</t>
  </si>
  <si>
    <t>Flap actuators - ref. unit cost</t>
  </si>
  <si>
    <t>Spoileron actuators - ref. unit cost</t>
  </si>
  <si>
    <t>LG actuators - ref. unit cost</t>
  </si>
  <si>
    <t>Actuators - sizing unit</t>
  </si>
  <si>
    <t>Actuators - reference size</t>
  </si>
  <si>
    <t>Tether attachment - sizing unit</t>
  </si>
  <si>
    <t>Tether attachment - reference size</t>
  </si>
  <si>
    <t>Tether attachment - ref. unit cost</t>
  </si>
  <si>
    <t>AWES (with margin)</t>
  </si>
  <si>
    <t>Opex (with margin)</t>
  </si>
  <si>
    <t>Control surfaces + LG</t>
  </si>
  <si>
    <t>Actuators - ref. mass</t>
  </si>
  <si>
    <t>Control surfaces + LG + tether att. Sys.</t>
  </si>
  <si>
    <t xml:space="preserve">  </t>
  </si>
  <si>
    <t>Avionics &amp; sensors - ref. mass</t>
  </si>
  <si>
    <t>Avionics &amp; sensors - ref. unit cost</t>
  </si>
  <si>
    <t>Integration - ref. unit cost</t>
  </si>
  <si>
    <t>Integration - ref. mass</t>
  </si>
  <si>
    <t>LG - ref. unit cost</t>
  </si>
  <si>
    <t>LG - ref. mass</t>
  </si>
  <si>
    <t>Propulsion &amp; onboard power - ref. mass</t>
  </si>
  <si>
    <t>Propulsion &amp; onboard power - ref. unit cost</t>
  </si>
  <si>
    <t>Everything else</t>
  </si>
  <si>
    <t>Avionics &amp; sensors - ref. total cost</t>
  </si>
  <si>
    <t>Avionics &amp; sensors - experience factor</t>
  </si>
  <si>
    <t>Integration - experience factor</t>
  </si>
  <si>
    <t>Upper tether - ref. mass</t>
  </si>
  <si>
    <t>Lower tether - ref. mass</t>
  </si>
  <si>
    <t>Upper tether - ref. unit cost</t>
  </si>
  <si>
    <t>Lower tether - ref. unit cost</t>
  </si>
  <si>
    <t>Control electronics - experience factor</t>
  </si>
  <si>
    <t>Electronics - ref. total cost</t>
  </si>
  <si>
    <t>Electronics - experience factor</t>
  </si>
  <si>
    <t>Mechanisms - experience factor</t>
  </si>
  <si>
    <t>2.4 BoP Capex reference sizes and costs</t>
  </si>
  <si>
    <t>2.4 BoP Capex Reference sizes and costs</t>
  </si>
  <si>
    <t>2.4.1 Onshore BoP</t>
  </si>
  <si>
    <t>2.4.2 Offshore BoP</t>
  </si>
  <si>
    <t>Fence - ref. unit cost</t>
  </si>
  <si>
    <t>Grid connection - ref. unit cost</t>
  </si>
  <si>
    <t>Transmission - ref. unit cost</t>
  </si>
  <si>
    <t>Transmission - experience factor</t>
  </si>
  <si>
    <t>Park preparation - ref. unit cost</t>
  </si>
  <si>
    <t>Park fixed - ref. unit cost</t>
  </si>
  <si>
    <t>Park fixed - experience factor</t>
  </si>
  <si>
    <t>Array electrical cables - ref. unit cost</t>
  </si>
  <si>
    <t>Array electrical cables - experience factor</t>
  </si>
  <si>
    <t>Commisioning - sizing unit</t>
  </si>
  <si>
    <t>Commisioning - reference size</t>
  </si>
  <si>
    <t>Commisioning - ref. unit cost</t>
  </si>
  <si>
    <t>Commisioning - experience factor</t>
  </si>
  <si>
    <t>Control center (fixed) - ref. total cost</t>
  </si>
  <si>
    <t>Control center (fixed) - experience factor</t>
  </si>
  <si>
    <t>Control center (variable) - ref. unit cost</t>
  </si>
  <si>
    <t>Control center (variable) - experience factor</t>
  </si>
  <si>
    <t>Foundation - sizing unit</t>
  </si>
  <si>
    <t>Foundation - reference size</t>
  </si>
  <si>
    <t>Fence - scale factor</t>
  </si>
  <si>
    <t>Control center (variable) - scale factor</t>
  </si>
  <si>
    <t>Commisioning - scale factor</t>
  </si>
  <si>
    <t>Array electrical cables - scale factor</t>
  </si>
  <si>
    <t>Park fixed - scale factor</t>
  </si>
  <si>
    <t>Park preparation - scale factor</t>
  </si>
  <si>
    <t>Transmission - scale factor</t>
  </si>
  <si>
    <t>Grid connection - scale factor</t>
  </si>
  <si>
    <t>Transport LLA+PGA - sizing unit</t>
  </si>
  <si>
    <t>Transport LLA+PGA - reference size</t>
  </si>
  <si>
    <t>Transport RPA - sizing unit</t>
  </si>
  <si>
    <t>Transport RPA - reference size</t>
  </si>
  <si>
    <t>Installation - sizing unit</t>
  </si>
  <si>
    <t>Installation - reference size</t>
  </si>
  <si>
    <t>Installation - experience factor</t>
  </si>
  <si>
    <t>Transport LLA+PGA - park sizing unit</t>
  </si>
  <si>
    <t>Transport RPA - park sizing unit</t>
  </si>
  <si>
    <t>Installation - park sizing unit</t>
  </si>
  <si>
    <t>Transmission - ref. exp. units</t>
  </si>
  <si>
    <t>Park preparation - ref. exp. units</t>
  </si>
  <si>
    <t>Park fixed - ref. exp. units</t>
  </si>
  <si>
    <t>Array electrical cables - ref. exp. units</t>
  </si>
  <si>
    <t>Commisioning - ref. exp. units</t>
  </si>
  <si>
    <t>Control center (fixed) - ref. exp. units</t>
  </si>
  <si>
    <t>Control center (variable) - ref. exp. units</t>
  </si>
  <si>
    <t>Foundation (if not floating) - scale factor</t>
  </si>
  <si>
    <t>Foundation (if not floating) - ref. exp. units</t>
  </si>
  <si>
    <t>Foundation (if not floating) - experience factor</t>
  </si>
  <si>
    <t>Floater (if floating) - sizing unit</t>
  </si>
  <si>
    <t>Floater (if floating) - reference size</t>
  </si>
  <si>
    <t>Floater (if floating) - scale factor</t>
  </si>
  <si>
    <t>Floater (if floating) - ref. exp. units</t>
  </si>
  <si>
    <t>Floater (if floating) - experience factor</t>
  </si>
  <si>
    <t>Floater (if floating) - park sizing unit</t>
  </si>
  <si>
    <t>Mooring (if floating) - sizing unit</t>
  </si>
  <si>
    <t>Mooring (if floating) - reference size</t>
  </si>
  <si>
    <t>Mooring (if floating) - scale factor</t>
  </si>
  <si>
    <t>Mooring (if floating) - ref. exp. units</t>
  </si>
  <si>
    <t>Mooring (if floating) - experience factor</t>
  </si>
  <si>
    <t>Mooring (if floating) - park sizing unit</t>
  </si>
  <si>
    <t>Installation - scale factor</t>
  </si>
  <si>
    <t>Installation - ref. exp. units</t>
  </si>
  <si>
    <t>Fence - park reference size</t>
  </si>
  <si>
    <t>Fence - park sizing unit</t>
  </si>
  <si>
    <t>Grid connection - park sizing unit</t>
  </si>
  <si>
    <t>Grid connection - park reference size</t>
  </si>
  <si>
    <t>Transmission - park sizing unit</t>
  </si>
  <si>
    <t>Transmission - park reference size</t>
  </si>
  <si>
    <t>Park preparation - park sizing unit</t>
  </si>
  <si>
    <t>Park preparation - park reference size</t>
  </si>
  <si>
    <t>Park fixed - park sizing unit</t>
  </si>
  <si>
    <t>Park fixed - park reference size</t>
  </si>
  <si>
    <t>Array electrical cables - park sizing unit</t>
  </si>
  <si>
    <t>Array electrical cables - park reference size</t>
  </si>
  <si>
    <t>Commisioning - park sizing unit</t>
  </si>
  <si>
    <t>Commisioning - park reference size</t>
  </si>
  <si>
    <t>Control center (variable) - park sizing unit</t>
  </si>
  <si>
    <t>Control center (variable) - park reference size</t>
  </si>
  <si>
    <t>Transport LLA+PGA - park reference size</t>
  </si>
  <si>
    <t>Transport LLA+PGA - ref. cost</t>
  </si>
  <si>
    <t>Transport RPA - ref. cost</t>
  </si>
  <si>
    <t>Transport RPA - park reference size</t>
  </si>
  <si>
    <t>Installation - ref. cost</t>
  </si>
  <si>
    <t>Installation - park reference size</t>
  </si>
  <si>
    <t>Foundation (if not floating) - parksizing unit</t>
  </si>
  <si>
    <t>Foundation (if not floating) - park reference size</t>
  </si>
  <si>
    <t>Floater (if floating) - unit scale factor</t>
  </si>
  <si>
    <t>Floater (if floating) - ref. cost</t>
  </si>
  <si>
    <t>Floater (if floating) - park reference size</t>
  </si>
  <si>
    <t>Mooring (if floating) - unit scale factor</t>
  </si>
  <si>
    <t>Mooring (if floating) - ref. cost</t>
  </si>
  <si>
    <t>Mooring (if floating) - park reference size</t>
  </si>
  <si>
    <t>Installation - unit scale factor</t>
  </si>
  <si>
    <t>3. OPEX</t>
  </si>
  <si>
    <t>3.1 AWES Opex</t>
  </si>
  <si>
    <t>3.2 BoP Opex</t>
  </si>
  <si>
    <t>Actuators - crate rental rate</t>
  </si>
  <si>
    <t>Actuators - frequency</t>
  </si>
  <si>
    <t>Actuators - spare parts % capex</t>
  </si>
  <si>
    <t>Actuators - unit cost</t>
  </si>
  <si>
    <t>Actuators - man hours</t>
  </si>
  <si>
    <t>Actuators - experience factor</t>
  </si>
  <si>
    <t>Avionics &amp; sensors - crate rental rate</t>
  </si>
  <si>
    <t>Avionics &amp; sensors - frequency</t>
  </si>
  <si>
    <t>Avionics &amp; sensors - spare parts % capex</t>
  </si>
  <si>
    <t>Avionics &amp; sensors - unit cost</t>
  </si>
  <si>
    <t>Avionics &amp; sensors - man hours</t>
  </si>
  <si>
    <t>Propulsion &amp; onboard power - crate rental rate</t>
  </si>
  <si>
    <t>Propulsion &amp; onboard power - frequency</t>
  </si>
  <si>
    <t>Propulsion &amp; onboard power - spare parts % capex</t>
  </si>
  <si>
    <t>Propulsion &amp; onboard power - unit cost</t>
  </si>
  <si>
    <t>Propulsion &amp; onboard power - man hours</t>
  </si>
  <si>
    <t>Propulsion &amp; onboard power - experience factor</t>
  </si>
  <si>
    <t>LG - crate rental rate</t>
  </si>
  <si>
    <t>LG - frequency</t>
  </si>
  <si>
    <t>LG - spare parts % capex</t>
  </si>
  <si>
    <t>LG - unit cost</t>
  </si>
  <si>
    <t>LG - man hours</t>
  </si>
  <si>
    <t>LG - experience factor</t>
  </si>
  <si>
    <t>Upper tether - crate rental rate</t>
  </si>
  <si>
    <t>Upper tether - frequency</t>
  </si>
  <si>
    <t>Upper tether - spare parts % capex</t>
  </si>
  <si>
    <t>Upper tether - unit cost</t>
  </si>
  <si>
    <t>Upper tether - man hours</t>
  </si>
  <si>
    <t>Upper tether - experience factor</t>
  </si>
  <si>
    <t>Lower tether - crate rental rate</t>
  </si>
  <si>
    <t>Lower tether - frequency</t>
  </si>
  <si>
    <t>Lower tether - spare parts % capex</t>
  </si>
  <si>
    <t>Lower tether - unit cost</t>
  </si>
  <si>
    <t>Lower tether - man hours</t>
  </si>
  <si>
    <t>Lower tether - experience factor</t>
  </si>
  <si>
    <t>Generator - crate rental rate</t>
  </si>
  <si>
    <t>Generator - frequency</t>
  </si>
  <si>
    <t>Generator - spare parts % capex</t>
  </si>
  <si>
    <t>Generator - unit cost</t>
  </si>
  <si>
    <t>Generator - man hours</t>
  </si>
  <si>
    <t>Generator - experience factor</t>
  </si>
  <si>
    <t>Backend/front interface - crate rental rate</t>
  </si>
  <si>
    <t>Backend/front interface - frequency</t>
  </si>
  <si>
    <t>Backend/front interface - spare parts % capex</t>
  </si>
  <si>
    <t>Backend/front interface - unit cost</t>
  </si>
  <si>
    <t>Backend/front interface - man hours</t>
  </si>
  <si>
    <t>Backend/front interface - experience factor</t>
  </si>
  <si>
    <t>Storage - crate rental rate</t>
  </si>
  <si>
    <t>Storage - frequency</t>
  </si>
  <si>
    <t>Storage - spare parts % capex</t>
  </si>
  <si>
    <t>Storage - unit cost</t>
  </si>
  <si>
    <t>Storage - man hours</t>
  </si>
  <si>
    <t>Storage - experience factor</t>
  </si>
  <si>
    <t>Control electronics - crate rental rate</t>
  </si>
  <si>
    <t>Control electronics - frequency</t>
  </si>
  <si>
    <t>Control electronics - spare parts % capex</t>
  </si>
  <si>
    <t>Control electronics - unit cost</t>
  </si>
  <si>
    <t>Control electronics - man hours</t>
  </si>
  <si>
    <t>Mechanisms - crate rental rate</t>
  </si>
  <si>
    <t>Mechanisms - frequency</t>
  </si>
  <si>
    <t>Mechanisms - spare parts % capex</t>
  </si>
  <si>
    <t>Mechanisms - unit cost</t>
  </si>
  <si>
    <t>Mechanisms - man hours</t>
  </si>
  <si>
    <t>Electronics - crate rental rate</t>
  </si>
  <si>
    <t>Electronics - frequency</t>
  </si>
  <si>
    <t>Electronics - spare parts % capex</t>
  </si>
  <si>
    <t>Electronics - unit cost</t>
  </si>
  <si>
    <t>Electronics - man hours</t>
  </si>
  <si>
    <t>k€/h</t>
  </si>
  <si>
    <t>O&amp;M - cost driver</t>
  </si>
  <si>
    <t>O&amp;M - size</t>
  </si>
  <si>
    <t>O&amp;M - scale factor</t>
  </si>
  <si>
    <t>O&amp;M - ref. unit cost</t>
  </si>
  <si>
    <t>O&amp;M - cost</t>
  </si>
  <si>
    <t>O&amp;M - ref. experience units</t>
  </si>
  <si>
    <t>O&amp;M - experience factor</t>
  </si>
  <si>
    <t>Site security &amp; cleaning - cost driver</t>
  </si>
  <si>
    <t>Site security &amp; cleaning - size</t>
  </si>
  <si>
    <t>Site security &amp; cleaning - scale factor</t>
  </si>
  <si>
    <t>Site security &amp; cleaning - ref. unit cost</t>
  </si>
  <si>
    <t>Site security &amp; cleaning - cost</t>
  </si>
  <si>
    <t>Site security &amp; cleaning - ref. experience units</t>
  </si>
  <si>
    <t>Site security &amp; cleaning - experience factor</t>
  </si>
  <si>
    <t>Site rental - cost driver</t>
  </si>
  <si>
    <t>Site rental - size</t>
  </si>
  <si>
    <t>Site rental - scale factor</t>
  </si>
  <si>
    <t>Site rental - ref. unit cost</t>
  </si>
  <si>
    <t>Site rental - cost</t>
  </si>
  <si>
    <t>Site rental - ref. experience units</t>
  </si>
  <si>
    <t>Site rental - experience factor</t>
  </si>
  <si>
    <t>Insurance - cost driver</t>
  </si>
  <si>
    <t>Insurance - size</t>
  </si>
  <si>
    <t>Insurance - scale factor</t>
  </si>
  <si>
    <t>Insurance - ref. unit cost</t>
  </si>
  <si>
    <t>Insurance - cost</t>
  </si>
  <si>
    <t>Insurance - ref. experience units</t>
  </si>
  <si>
    <t>Insurance - experience factor</t>
  </si>
  <si>
    <t>Local Taxes - cost driver</t>
  </si>
  <si>
    <t>Local Taxes - size</t>
  </si>
  <si>
    <t>Local Taxes - scale factor</t>
  </si>
  <si>
    <t>Local Taxes - ref. unit cost</t>
  </si>
  <si>
    <t>Local Taxes - cost</t>
  </si>
  <si>
    <t>Local Taxes - ref. experience units</t>
  </si>
  <si>
    <t>Local Taxes - experience factor</t>
  </si>
  <si>
    <t>Administrative Management services - cost driver</t>
  </si>
  <si>
    <t>Administrative Management services - size</t>
  </si>
  <si>
    <t>Administrative Management services - scale factor</t>
  </si>
  <si>
    <t>Administrative Management services - ref. unit cost</t>
  </si>
  <si>
    <t>Administrative Management services - cost</t>
  </si>
  <si>
    <t>Administrative Management services - ref. experience units</t>
  </si>
  <si>
    <t>Administrative Management services - experience factor</t>
  </si>
  <si>
    <t>Political Risk Insurance - cost driver</t>
  </si>
  <si>
    <t>Political Risk Insurance - size</t>
  </si>
  <si>
    <t>Political Risk Insurance - scale factor</t>
  </si>
  <si>
    <t>Political Risk Insurance - ref. unit cost</t>
  </si>
  <si>
    <t>Political Risk Insurance - cost</t>
  </si>
  <si>
    <t>Political Risk Insurance - ref. experience units</t>
  </si>
  <si>
    <t>Political Risk Insurance - experience factor</t>
  </si>
  <si>
    <t>Contingencies &amp; other costs - cost driver</t>
  </si>
  <si>
    <t>Contingencies &amp; other costs - size</t>
  </si>
  <si>
    <t>Contingencies &amp; other costs - scale factor</t>
  </si>
  <si>
    <t>Contingencies &amp; other costs - ref. unit cost</t>
  </si>
  <si>
    <t>Contingencies &amp; other costs - cost</t>
  </si>
  <si>
    <t>Contingencies &amp; other costs - ref. experience units</t>
  </si>
  <si>
    <t>Contingencies &amp; other costs - experience factor</t>
  </si>
  <si>
    <t>Port rental - cost driver</t>
  </si>
  <si>
    <t>Port rental - size</t>
  </si>
  <si>
    <t>Port rental - scale factor</t>
  </si>
  <si>
    <t>Port rental - ref. unit cost</t>
  </si>
  <si>
    <t>Port rental - cost</t>
  </si>
  <si>
    <t>Port rental - ref. experience units</t>
  </si>
  <si>
    <t>Port rental - experience factor</t>
  </si>
  <si>
    <t>PSV - cost driver</t>
  </si>
  <si>
    <t>PSV - size</t>
  </si>
  <si>
    <t>PSV - scale factor</t>
  </si>
  <si>
    <t>PSV - ref. unit cost</t>
  </si>
  <si>
    <t>PSV - cost</t>
  </si>
  <si>
    <t>PSV - ref. experience units</t>
  </si>
  <si>
    <t>PSV - experience factor</t>
  </si>
  <si>
    <t>k€/y</t>
  </si>
  <si>
    <t>=25*365*offshore</t>
  </si>
  <si>
    <t>Merged 'Ampyx LCOE model 2021-03-08 IG.xlsx' and 'Ampyx LCOE model 2021-03-05 - branched by FN on 24 march with formatting.xlsx'. FN branch contained changes to the numbers of the 'No Gains' scenario.</t>
  </si>
  <si>
    <t>CO2 impact</t>
  </si>
  <si>
    <t>4. SCENARIOS</t>
  </si>
  <si>
    <t>Scenario 1 value</t>
  </si>
  <si>
    <t>Scenario 2 value</t>
  </si>
  <si>
    <t>Scenario 3 value</t>
  </si>
  <si>
    <t>Scenario 4 value</t>
  </si>
  <si>
    <t>Scenario 5 value</t>
  </si>
  <si>
    <t>Scenario 6 value</t>
  </si>
  <si>
    <t>Scenario 7 value</t>
  </si>
  <si>
    <t>Scenario 8 value</t>
  </si>
  <si>
    <t>Scenario 9 value</t>
  </si>
  <si>
    <t>AP3 value</t>
  </si>
  <si>
    <t>Reference scenario value</t>
  </si>
  <si>
    <t>Scenario name</t>
  </si>
  <si>
    <t>AP3</t>
  </si>
  <si>
    <t>Rearranged tab order to follow "input-function-output" flow.
Added 'Inputs' sheet, where all workbook inputs will be gathered (so far only 'Scenarios' and 'Capex&amp;Opex' inputs are included).
General parameters in 'Lists' moved to 'Inputs' sheet.
Added 'link to manual input' format.
Added 'Overrides' sheet, where an overview of applied overrides is displayed (in progress).
Added informative header panel to most sheets.
Some clean up including adding notes, units, explanations, list selection overviews.</t>
  </si>
  <si>
    <t>2021-04-12 IG</t>
  </si>
  <si>
    <t>Scenario 10 value</t>
  </si>
  <si>
    <t>Model run - external</t>
  </si>
  <si>
    <t>1.1 Lists and scenario selection</t>
  </si>
  <si>
    <t>1.2 General parameters</t>
  </si>
  <si>
    <t>Removed 'BVG data request' sheet and corresponding scenarios.
Added scenario for external model run "Model run - external".
Added 'Outputs' sheet compiling a first list of interesting outputs.</t>
  </si>
  <si>
    <t>Power curve 3 m/s</t>
  </si>
  <si>
    <t>Power curve 4 m/s</t>
  </si>
  <si>
    <t>Power curve 5 m/s</t>
  </si>
  <si>
    <t>Power curve 6 m/s</t>
  </si>
  <si>
    <t>Power curve 7 m/s</t>
  </si>
  <si>
    <t>Power curve 8 m/s</t>
  </si>
  <si>
    <t>Power curve 9 m/s</t>
  </si>
  <si>
    <t>Power curve 10 m/s</t>
  </si>
  <si>
    <t>Power curve 11 m/s</t>
  </si>
  <si>
    <t>Power curve 12 m/s</t>
  </si>
  <si>
    <t>Power curve 13 m/s</t>
  </si>
  <si>
    <t>Power curve 14 m/s</t>
  </si>
  <si>
    <t>Power curve 15 m/s</t>
  </si>
  <si>
    <t>Power curve 16 m/s</t>
  </si>
  <si>
    <t>Power curve 17 m/s</t>
  </si>
  <si>
    <t>Power curve 18 m/s</t>
  </si>
  <si>
    <t>Power curve 19 m/s</t>
  </si>
  <si>
    <t>Power curve 20 m/s</t>
  </si>
  <si>
    <t>Power curve 21 m/s</t>
  </si>
  <si>
    <t>Power curve 22 m/s</t>
  </si>
  <si>
    <t>Power curve 23 m/s</t>
  </si>
  <si>
    <t>Power curve 24 m/s</t>
  </si>
  <si>
    <t>Power curve 25 m/s</t>
  </si>
  <si>
    <t>Power curve 0 m/s</t>
  </si>
  <si>
    <t>Power curve 1 m/s</t>
  </si>
  <si>
    <t>Power curve 2 m/s</t>
  </si>
  <si>
    <t>Weibull 0 m/s</t>
  </si>
  <si>
    <t>Weibull 1 m/s</t>
  </si>
  <si>
    <t>Weibull 2 m/s</t>
  </si>
  <si>
    <t>Weibull 3 m/s</t>
  </si>
  <si>
    <t>Weibull 4 m/s</t>
  </si>
  <si>
    <t>Weibull 5 m/s</t>
  </si>
  <si>
    <t>Weibull 6 m/s</t>
  </si>
  <si>
    <t>Weibull 7 m/s</t>
  </si>
  <si>
    <t>Weibull 8 m/s</t>
  </si>
  <si>
    <t>Weibull 9 m/s</t>
  </si>
  <si>
    <t>Weibull 10 m/s</t>
  </si>
  <si>
    <t>Weibull 11 m/s</t>
  </si>
  <si>
    <t>Weibull 12 m/s</t>
  </si>
  <si>
    <t>Weibull 13 m/s</t>
  </si>
  <si>
    <t>Weibull 14 m/s</t>
  </si>
  <si>
    <t>Weibull 15 m/s</t>
  </si>
  <si>
    <t>Weibull 16 m/s</t>
  </si>
  <si>
    <t>Weibull 17 m/s</t>
  </si>
  <si>
    <t>Weibull 18 m/s</t>
  </si>
  <si>
    <t>Weibull 19 m/s</t>
  </si>
  <si>
    <t>Weibull 20 m/s</t>
  </si>
  <si>
    <t>Weibull 21 m/s</t>
  </si>
  <si>
    <t>Weibull 22 m/s</t>
  </si>
  <si>
    <t>Weibull 23 m/s</t>
  </si>
  <si>
    <t>Weibull 24 m/s</t>
  </si>
  <si>
    <t>Weibull 25 m/s</t>
  </si>
  <si>
    <t>Ouputs</t>
  </si>
  <si>
    <t>Parameter</t>
  </si>
  <si>
    <t>RPA Capex</t>
  </si>
  <si>
    <t>Tether Capex</t>
  </si>
  <si>
    <t>PGA Capex</t>
  </si>
  <si>
    <t>LLA Capex</t>
  </si>
  <si>
    <t>Grid Capex</t>
  </si>
  <si>
    <t>Site Capex</t>
  </si>
  <si>
    <t>Installation Capex</t>
  </si>
  <si>
    <t>RPA Opex</t>
  </si>
  <si>
    <t>Tether Opex</t>
  </si>
  <si>
    <t>PGA Opex</t>
  </si>
  <si>
    <t>LLA Opex</t>
  </si>
  <si>
    <t>Port rental Opex</t>
  </si>
  <si>
    <t>PSV Opex</t>
  </si>
  <si>
    <t>Total Opex</t>
  </si>
  <si>
    <t>Total Capex</t>
  </si>
  <si>
    <t>BOP (with margin)</t>
  </si>
  <si>
    <t>M€/year</t>
  </si>
  <si>
    <t>2021-04-24 IG</t>
  </si>
  <si>
    <t>AWES Fundamentals - benchmarking with other energy sources</t>
  </si>
  <si>
    <t>Hydro (22.5 GW)</t>
  </si>
  <si>
    <t>LCoE</t>
  </si>
  <si>
    <t>Weighted LCoE (LCoE/Cf^0.8)</t>
  </si>
  <si>
    <t>LCoE model scenario</t>
  </si>
  <si>
    <t>Scenario 7 offshore</t>
  </si>
  <si>
    <t>Scenario 9 offshore</t>
  </si>
  <si>
    <t>Scenario 8</t>
  </si>
  <si>
    <t>P*1000</t>
  </si>
  <si>
    <t>Launch and Land deck length</t>
  </si>
  <si>
    <t>Launch and Land deck width</t>
  </si>
  <si>
    <t>Launch and Land deck heigth</t>
  </si>
  <si>
    <t>LLA deck length*width</t>
  </si>
  <si>
    <t>Wingspan</t>
  </si>
  <si>
    <t>!! offset instead of calculation because some scenarios' aspect ratio have been hardcoded</t>
  </si>
  <si>
    <t>Notes on calculation for AWES</t>
  </si>
  <si>
    <t>LCoE with margin</t>
  </si>
  <si>
    <t>Calculated from the max tension and tether material, including a safety factor of 10%.</t>
  </si>
  <si>
    <t>Calculated the max tether length at the different windspeeds and taken the maximum (~@rated windspeed). The max tether length at a given windspeed is calculated form the minimum tether length required, the number of patterns per cycle, the pattern angular radius, max reel out speed and crosswind velocity.</t>
  </si>
  <si>
    <t>Used plan view of LLA (width * length)</t>
  </si>
  <si>
    <t>Conservative (chosen) approach: Since wind direction changes, the larger between longitudinal and lateral spacing distances needs to be kept over the 360degrees around the facility.
More optimized approach: a complete study of winds for the location would be necessary, and a tradeoff between spacing and flight performance and farm control would be done.</t>
  </si>
  <si>
    <t>2021-05-05 RJ</t>
  </si>
  <si>
    <t>RJ</t>
  </si>
  <si>
    <t xml:space="preserve">Added two extra columns in the Performance sheet. Does not affect any original cells in the model.
1. Weibull distribution created from raw wind speed data from ERA5
2. Energy at each wind speed
These are intermediate calculations for the Decision Support Tool (sensitivity analysis scripts) in Matlab environment. </t>
  </si>
  <si>
    <t>Added 'AWES Fundamentals' sheet; used data in workbook to calculate some of the numbers.
Equaled all other scenarios pattern elevation and pattern angular radius to the 'Reference' and 'No Gains' scenario (28 deg and 20 deg respectively).
Split LLA dimension in 3 components in 'Scenarios' sheet.
Inverted 'Version history' table order.</t>
  </si>
  <si>
    <t>2021-05-05_AWES_Fundamentals</t>
  </si>
  <si>
    <t>?</t>
  </si>
  <si>
    <t>Solar PV</t>
  </si>
  <si>
    <t>Assuming synchronized flying and considering the downwind takeoff length and pattern cone, AWES could be overlap 1 third longitudinally.
From Paul: "Limitation on longitudinal spacing comes from the launch. AWES need to launch against the wind, so the AWES directly downwind from it needs to be sufficiently far away. Nevertheless, for power generation, the only real concern here is the sagging of the tether and not sweeping over the other LLA. Finally, the absolute limit needs to take into account the deltaTheta (vertical pattern size), but it will also be affected by the reel-in altitude (re-entry also affects the maximum theta). Realistically, I am not sure how we can launch in winds where the configuration has the facilities directly downwind, I think that is an edge case where the park cannot be fully utilized. So they have to be staggered in the predominant wind direction e.g., tethers do not nominally overlap. And this would also affect the spacing sideways depending on the wind direction probability. There would need to be a trade in the park design."</t>
  </si>
  <si>
    <t>Chord varies across wing and for different AWES products</t>
  </si>
  <si>
    <t>Design choice; it doesn't come from wingspan times chord.</t>
  </si>
  <si>
    <t>Formula</t>
  </si>
  <si>
    <t>Calculated RPA mass from LCoE model. Depending on the AWES system, it takes into accounts future mass reductions from different R&amp;D projects.</t>
  </si>
  <si>
    <t>Calculated LLA+tether mass from LCoE model. LLA broken down into mechanisms, structure and electronics. Electronics mass is disregarded, mechanism mass is assumed to be RPA mass + half tether mass, and structure mass is equal to the mechanisms mass + 1000</t>
  </si>
  <si>
    <t>PGA mass</t>
  </si>
  <si>
    <t>For offhore cases, NOV floater+mooring mass</t>
  </si>
  <si>
    <t>At pattern angular elevation, picked AWES height at tether half reeled-out.</t>
  </si>
  <si>
    <t>Active surface</t>
  </si>
  <si>
    <t>Land area</t>
  </si>
  <si>
    <t>LCoE model scenario selector</t>
  </si>
  <si>
    <t>Chart KPI selector</t>
  </si>
  <si>
    <t>Hydro (methane emissions)</t>
  </si>
  <si>
    <t>Coal Power</t>
  </si>
  <si>
    <t>CCGT</t>
  </si>
  <si>
    <t>Gas Power</t>
  </si>
  <si>
    <t>Nuclear</t>
  </si>
  <si>
    <t>W/m2</t>
  </si>
  <si>
    <t>MWh/m2.yr</t>
  </si>
  <si>
    <t>W/kg</t>
  </si>
  <si>
    <t>Key Parameter Indicator</t>
  </si>
  <si>
    <t>Unit nominal power</t>
  </si>
  <si>
    <t>Tether length</t>
  </si>
  <si>
    <t>Tether diameter</t>
  </si>
  <si>
    <t>Footprint</t>
  </si>
  <si>
    <t>Footprint power density</t>
  </si>
  <si>
    <t>m2/MW</t>
  </si>
  <si>
    <t>Specific area</t>
  </si>
  <si>
    <t>Other system mass</t>
  </si>
  <si>
    <t>Foundation mass</t>
  </si>
  <si>
    <t>BOP mass</t>
  </si>
  <si>
    <t>Total mass</t>
  </si>
  <si>
    <t>Specific mass</t>
  </si>
  <si>
    <t>Mean operating height</t>
  </si>
  <si>
    <t>Tower diameter</t>
  </si>
  <si>
    <t>Swept area diameter</t>
  </si>
  <si>
    <t>Swept area</t>
  </si>
  <si>
    <t>Swept area power density</t>
  </si>
  <si>
    <t>Footprint energy density</t>
  </si>
  <si>
    <t>landAreaPowerDensity*CapacityFactor*hoursYear</t>
  </si>
  <si>
    <t>nominalPower/landArea</t>
  </si>
  <si>
    <t>unitPower/footprint</t>
  </si>
  <si>
    <t>footprintPowerDensity*capacityFactor*hoursYear</t>
  </si>
  <si>
    <t>unitPower/activeSurfaceMass</t>
  </si>
  <si>
    <t>unitPower/activeSurfaceArea</t>
  </si>
  <si>
    <t>activeSurfaceEnergyDensity*capacityFactor*hoursYear</t>
  </si>
  <si>
    <t>tetherLength</t>
  </si>
  <si>
    <t>tetherDiameter</t>
  </si>
  <si>
    <t>One RPA per facility.</t>
  </si>
  <si>
    <t>kg CO2 eq. / MWh</t>
  </si>
  <si>
    <t>value copied from LCoE model scenario selector</t>
  </si>
  <si>
    <t>Refs HAWT</t>
  </si>
  <si>
    <t>References</t>
  </si>
  <si>
    <t>AEP/(hoursDay*daysYear*unitPower)</t>
  </si>
  <si>
    <t>https://pdf.archiexpo.com/pdf/vestas/vestas-v164-80-mw/88087-134417.html</t>
  </si>
  <si>
    <t>Maximum between lateral and longitudinal area.</t>
  </si>
  <si>
    <t xml:space="preserve">Added more explanations to AWES fundamentals calculations in 'AWES Fundamentals' sheet.
Renamed 'AWES Fundamentals' sheet to 'KPIs'.
Transposed KPIs table.
Added 'KPI chart' tab.
</t>
  </si>
  <si>
    <t>(with KPIs) 2021-05-07 FN+IG</t>
  </si>
  <si>
    <t>FN, IG</t>
  </si>
  <si>
    <t>From LCA model for a 1.8MW system</t>
  </si>
  <si>
    <t>Refs SoftKites</t>
  </si>
  <si>
    <t>m/s (wind), kWh/m2.year (solar), MJ/kg (coal and gas), GJ/kg (nuclear)</t>
  </si>
  <si>
    <t>https://windeurope.org/intelligence-platform/product/wind-energy-in-europe-in-2020-trends-and-statistics/</t>
  </si>
  <si>
    <t>Average of Vestas and Seimens products (https://en.wind-turbine-models.com/)</t>
  </si>
  <si>
    <t>Spacing of 7D (average). Can lie between 6D to 11D</t>
  </si>
  <si>
    <t>https://www.vestas.com/~/media/vestas/about/sustainability/pdfs/201802_material%20use%20brochure.pdf</t>
  </si>
  <si>
    <t>https://www.vestas.com/~/media/vestas/about/sustainability/pdfs/v1123%2045mw_mk3a_iso_lca_final_31072017.pdf</t>
  </si>
  <si>
    <t>1 PV module is averagely 400W, 2m2, 23kg</t>
  </si>
  <si>
    <t>https://news.energysage.com/average-solar-panel-size-weight/</t>
  </si>
  <si>
    <t>https://windeurope.org/policy/topics/economics/</t>
  </si>
  <si>
    <t>https://www-sciencedirect-com.tudelft.idm.oclc.org/science/article/pii/S0301421518305512</t>
  </si>
  <si>
    <t xml:space="preserve">Improved calculations in 'KPIs' sheet, and added additional assumptions explanations.
</t>
  </si>
  <si>
    <t>IG, RJ</t>
  </si>
  <si>
    <t>Considering helix cycle; diameter of cycle cirle calculated when tether is half reeled-out.</t>
  </si>
  <si>
    <t>Half-reeled out cycle circle times wingspan</t>
  </si>
  <si>
    <t>sweptAreaDiameter*wingspan</t>
  </si>
  <si>
    <t>nominalPower/sweptArea</t>
  </si>
  <si>
    <t>Cumulative Energy Demand</t>
  </si>
  <si>
    <t>MJ-eq/kWh</t>
  </si>
  <si>
    <t>Scenario 6</t>
  </si>
  <si>
    <t>Scenario 4</t>
  </si>
  <si>
    <t>Spacing</t>
  </si>
  <si>
    <t>0,5*maxTetherLength</t>
  </si>
  <si>
    <t>Local energy resource</t>
  </si>
  <si>
    <t>AR</t>
  </si>
  <si>
    <t>2*((maxTetherLength-(reelOutLength/2)))*sin(patternAngularRadius)</t>
  </si>
  <si>
    <t>spacing^2*optimalCirclePackingGain</t>
  </si>
  <si>
    <t>sin(patternElevation)*(maxTetherLength-(reeloutTetherLength/2))</t>
  </si>
  <si>
    <t>(with KPIs) 2021-05-20 IG+RJ+MK</t>
  </si>
  <si>
    <t>Specific energy</t>
  </si>
  <si>
    <t>°</t>
  </si>
  <si>
    <t>PatternAng (deg)</t>
  </si>
  <si>
    <t>HAWT Onshore 2 MW</t>
  </si>
  <si>
    <t>Kite 
150 kW</t>
  </si>
  <si>
    <t>Kite 
1 MW</t>
  </si>
  <si>
    <t>AP3 
150 kW</t>
  </si>
  <si>
    <t>AP4
1 MW</t>
  </si>
  <si>
    <t>AP5
3 MW</t>
  </si>
  <si>
    <t>AP5 
4 MW</t>
  </si>
  <si>
    <t>HAWT 
3.5 MW</t>
  </si>
  <si>
    <t>AP6 
5 MW
Offshore</t>
  </si>
  <si>
    <t>AP6 
8 MW
Offshore</t>
  </si>
  <si>
    <t>HAWT 
8MW 
Offshore</t>
  </si>
  <si>
    <t>MWh/t.yr</t>
  </si>
  <si>
    <t>Working surface length</t>
  </si>
  <si>
    <t>Working surface width</t>
  </si>
  <si>
    <t>Working surface area per unit</t>
  </si>
  <si>
    <t>Nr Working surfaces</t>
  </si>
  <si>
    <t>Total Working surface area</t>
  </si>
  <si>
    <t>Working surface power density</t>
  </si>
  <si>
    <t>Working surface energy density</t>
  </si>
  <si>
    <t>Working surface mass</t>
  </si>
  <si>
    <t>Working surface specific power/mass</t>
  </si>
  <si>
    <t>Solar PV 
400W
low yield</t>
  </si>
  <si>
    <t>Solar PV 
400W
high yield</t>
  </si>
  <si>
    <t>units/km2</t>
  </si>
  <si>
    <t>Pattern elevation angle</t>
  </si>
  <si>
    <t>Pattern elevation angle -rad</t>
  </si>
  <si>
    <t>Average pattern elevation height</t>
  </si>
  <si>
    <t>Average pattern height</t>
  </si>
  <si>
    <t>Min operating tether lenght</t>
  </si>
  <si>
    <t xml:space="preserve">Max tether length (rated wind) </t>
  </si>
  <si>
    <t>Average tether length</t>
  </si>
  <si>
    <t>Rated wind speed, m/s</t>
  </si>
  <si>
    <t>Average pattern height, m</t>
  </si>
  <si>
    <t>Max tether length, m</t>
  </si>
  <si>
    <t>Elevation angle</t>
  </si>
  <si>
    <t>theta_selected</t>
  </si>
  <si>
    <t>theta_nr</t>
  </si>
  <si>
    <t>thetas</t>
  </si>
  <si>
    <t>theta_override</t>
  </si>
  <si>
    <t>Reference height</t>
  </si>
  <si>
    <t>Reference wind speed</t>
  </si>
  <si>
    <t>Shear factor</t>
  </si>
  <si>
    <t>Average pattern wind speed</t>
  </si>
  <si>
    <t>ref_speed</t>
  </si>
  <si>
    <t>ref_wind_speed_override</t>
  </si>
  <si>
    <t>ref_wind_speed</t>
  </si>
  <si>
    <t>ref_wind_speeds</t>
  </si>
  <si>
    <t>Average pattern wind speed, m/s</t>
  </si>
  <si>
    <t>Working height</t>
  </si>
  <si>
    <t>1 - No gains 12m2 10 m/s</t>
  </si>
  <si>
    <t>Best Case AP6 Offshore 2040</t>
  </si>
  <si>
    <t>Best Case AP5 - Onshore 2040</t>
  </si>
  <si>
    <t>High Case AP6 Offshore 2035</t>
  </si>
  <si>
    <t>High Case AP5 Onshore - 2035</t>
  </si>
  <si>
    <t>Base Case 2030</t>
  </si>
  <si>
    <t>Low Case 2026</t>
  </si>
  <si>
    <t>Harvested area power density</t>
  </si>
  <si>
    <t>Harvested area energy density</t>
  </si>
  <si>
    <t>MW/km2</t>
  </si>
  <si>
    <t>GWh/km2.yr</t>
  </si>
  <si>
    <t>Packing density</t>
  </si>
  <si>
    <t>Average wind speed at working height</t>
  </si>
  <si>
    <t>Annual Energy Production, GWh/yr</t>
  </si>
  <si>
    <t>MK1</t>
  </si>
  <si>
    <t>PGA altitude above sea level</t>
  </si>
  <si>
    <t>PGA altitude over sea level</t>
  </si>
  <si>
    <t>Airdensity h=0</t>
  </si>
  <si>
    <t>kg/m3</t>
  </si>
  <si>
    <t>Airdensity pattern</t>
  </si>
  <si>
    <t>rho</t>
  </si>
  <si>
    <t>Based on max roll angle, assuming rho at h=0</t>
  </si>
  <si>
    <t>Current electric</t>
  </si>
  <si>
    <t>Future electric</t>
  </si>
  <si>
    <t>d</t>
  </si>
  <si>
    <t>CD reel-in</t>
  </si>
  <si>
    <t>fraction of RPM_max</t>
  </si>
  <si>
    <t>Efficiency curves</t>
  </si>
  <si>
    <t>Polynomial</t>
  </si>
  <si>
    <t>Selected</t>
  </si>
  <si>
    <t>Max reel speed</t>
  </si>
  <si>
    <t>assuming this max is reel-in speed</t>
  </si>
  <si>
    <t>After gearbox</t>
  </si>
  <si>
    <t>into generator</t>
  </si>
  <si>
    <t>weighted &gt;=7m/s wind</t>
  </si>
  <si>
    <t>Weibull averaged generator power &gt;= 7m/s (including reel-out time fraction)</t>
  </si>
  <si>
    <t>Effective generator efficiency &gt;=7 m/s</t>
  </si>
  <si>
    <t>Efficiency at wind</t>
  </si>
  <si>
    <t>Generator efficiency (max - average)</t>
  </si>
  <si>
    <t>Gearbox efficiency</t>
  </si>
  <si>
    <t>DELETE?</t>
  </si>
  <si>
    <t>Storage loss estimate input</t>
  </si>
  <si>
    <t>wrt generator output energy</t>
  </si>
  <si>
    <t>through storage</t>
  </si>
  <si>
    <t>weighted</t>
  </si>
  <si>
    <t xml:space="preserve">Reelin power losses </t>
  </si>
  <si>
    <t>times average wind</t>
  </si>
  <si>
    <t>Incl. gearbox</t>
  </si>
  <si>
    <t>Overall efficiency</t>
  </si>
  <si>
    <t>Combined non-generator losses</t>
  </si>
  <si>
    <t>Weighted overall efficiency</t>
  </si>
  <si>
    <t>check</t>
  </si>
  <si>
    <t>AP4</t>
  </si>
  <si>
    <t>SUMMARY</t>
  </si>
  <si>
    <t>NO POWER CAPPING IN CYCLE</t>
  </si>
  <si>
    <t>tether</t>
  </si>
  <si>
    <t>gen size</t>
  </si>
  <si>
    <t>vreel</t>
  </si>
  <si>
    <t>cL</t>
  </si>
  <si>
    <t>cd</t>
  </si>
  <si>
    <t>Tmax</t>
  </si>
  <si>
    <t>Rated</t>
  </si>
  <si>
    <t>AP3m20</t>
  </si>
  <si>
    <t xml:space="preserve">Weight </t>
  </si>
  <si>
    <t xml:space="preserve">J </t>
  </si>
  <si>
    <t>New combined Inertia+Elevation+ Gavity</t>
  </si>
  <si>
    <t>All without power oscillations</t>
  </si>
  <si>
    <t>J: used in combined effect of gravity</t>
  </si>
  <si>
    <t>Wing area (m2)</t>
  </si>
  <si>
    <t>AEP(MWh)</t>
  </si>
  <si>
    <t>LCoE (€/MWh)</t>
  </si>
  <si>
    <t>Rated Power(MW)</t>
  </si>
  <si>
    <t>Kite mass(kg)</t>
  </si>
  <si>
    <t>Capacity factor(%)</t>
  </si>
  <si>
    <t>Simple V_RO</t>
  </si>
  <si>
    <t>Cycle eff from Matlab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</si>
</sst>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5">
    <numFmt numFmtId="164" formatCode="_(* #,##0.00_);_(* \(#,##0.00\);_(* &quot;-&quot;??_);_(@_)"/>
    <numFmt numFmtId="165" formatCode="0.0E+00"/>
    <numFmt numFmtId="166" formatCode="0.0"/>
    <numFmt numFmtId="167" formatCode="0.000"/>
    <numFmt numFmtId="168" formatCode="0.00000000"/>
    <numFmt numFmtId="169" formatCode="0.000E+00"/>
    <numFmt numFmtId="170" formatCode="&quot;&quot;#,##0&quot;&quot;;&quot;&quot;\-#,##0&quot;&quot;;&quot; &quot;\ \-\ &quot; &quot;"/>
    <numFmt numFmtId="171" formatCode="&quot;&quot;#,##0.0&quot;&quot;;&quot;&quot;\ \-#,##0.0&quot;&quot;;&quot; &quot;\ \-\ &quot; &quot;"/>
    <numFmt numFmtId="172" formatCode="&quot;&quot;#,##0.00&quot;&quot;;&quot;&quot;\ \-#,##0.00&quot;&quot;;&quot; &quot;\ \-\ &quot; &quot;"/>
    <numFmt numFmtId="173" formatCode="&quot;&quot;#,##0.000&quot;&quot;;&quot;&quot;\ \-#,##0.000&quot;&quot;;&quot; &quot;\ \-\ &quot; &quot;"/>
    <numFmt numFmtId="174" formatCode="&quot;&quot;0%&quot;&quot;;&quot;&quot;\ \-0%&quot;&quot;;&quot; &quot;\ \-\ &quot; &quot;"/>
    <numFmt numFmtId="175" formatCode="&quot;&quot;#,##0.0&quot;&quot;;&quot;&quot;\-#,##0.0&quot;&quot;;&quot; &quot;\ \-\ &quot; &quot;"/>
    <numFmt numFmtId="176" formatCode="&quot;&quot;#,##0.00&quot;&quot;;&quot;&quot;\-#,##0.00&quot;&quot;;&quot; &quot;\ \-\ &quot; &quot;"/>
    <numFmt numFmtId="177" formatCode="yyyy\-mm"/>
    <numFmt numFmtId="178" formatCode="0;\-0;;@"/>
    <numFmt numFmtId="179" formatCode="0.0;\-0.0;;@"/>
    <numFmt numFmtId="180" formatCode="0.00;\-0.00;;@"/>
    <numFmt numFmtId="181" formatCode="0.000;\-0.000;;@"/>
    <numFmt numFmtId="182" formatCode="0.0000;\-0.0000;;@"/>
    <numFmt numFmtId="183" formatCode="0&quot; m2&quot;"/>
    <numFmt numFmtId="184" formatCode="yy\-mmm"/>
    <numFmt numFmtId="185" formatCode="&quot;&quot;#,##0&quot; units&quot;;&quot;&quot;\-#,##0&quot;&quot;;&quot; &quot;\ \-\ &quot; &quot;"/>
    <numFmt numFmtId="186" formatCode="#,##0&quot; kW&quot;;;"/>
    <numFmt numFmtId="187" formatCode="&quot;&quot;0.0%&quot;&quot;;&quot;&quot;\ \-0.0%&quot;&quot;;&quot; &quot;\ \-\ &quot; &quot;"/>
    <numFmt numFmtId="188" formatCode="#,##0&quot; #/park&quot;;;"/>
    <numFmt numFmtId="189" formatCode="&quot;P : &quot;0%"/>
    <numFmt numFmtId="190" formatCode="&quot;Tmax_p : &quot;0%"/>
    <numFmt numFmtId="191" formatCode="&quot;Tmax_t : &quot;0%"/>
    <numFmt numFmtId="192" formatCode="&quot;&quot;#,##0.000&quot;&quot;;&quot;&quot;\-#,##0.000&quot;&quot;;&quot; &quot;\ \-\ &quot; &quot;"/>
    <numFmt numFmtId="193" formatCode="0E+00"/>
    <numFmt numFmtId="194" formatCode="0&quot; prototypes&quot;"/>
    <numFmt numFmtId="195" formatCode="0&quot; prototype&quot;"/>
    <numFmt numFmtId="196" formatCode="&quot;&quot;#,##0.0&quot; m/s&quot;;&quot;&quot;\-#,##0.0&quot;&quot;;&quot; &quot;\ \-\ &quot; &quot;"/>
    <numFmt numFmtId="197" formatCode="&quot;Ampyx WACC &quot;0%&quot;&quot;;&quot;&quot;\ \-0.0%&quot;&quot;;&quot; &quot;\ \-\ &quot; &quot;"/>
    <numFmt numFmtId="198" formatCode="&quot;Project WACC &quot;0%&quot;&quot;;&quot;&quot;\ \-0.0%&quot;&quot;;&quot; &quot;\ \-\ &quot; &quot;"/>
    <numFmt numFmtId="199" formatCode="&quot;AWES margin &quot;0%&quot;&quot;;&quot;&quot;\ \-0.0%&quot;&quot;;&quot; &quot;\ \-\ &quot; &quot;"/>
    <numFmt numFmtId="200" formatCode="&quot;SP margin &quot;0%&quot;&quot;;&quot;&quot;\ \-0.0%&quot;&quot;;&quot; &quot;\ \-\ &quot; &quot;"/>
    <numFmt numFmtId="201" formatCode="0.0%"/>
    <numFmt numFmtId="202" formatCode="&quot;&quot;#,##0&quot; years&quot;;&quot;&quot;\-#,##0&quot;&quot;;&quot; &quot;\ \-\ &quot; &quot;"/>
    <numFmt numFmtId="203" formatCode="&quot;&quot;#,##0&quot; &quot;;&quot;&quot;\-#,##0&quot; &quot;;&quot; &quot;\ \-\ &quot; &quot;"/>
    <numFmt numFmtId="204" formatCode="&quot;&quot;0%&quot; &quot;;&quot;&quot;\ \-0%&quot; &quot;;&quot; &quot;\ \-\ &quot; &quot;"/>
    <numFmt numFmtId="205" formatCode="&quot;&quot;#,##0.0&quot; &quot;;&quot;&quot;\ \-#,##0.0&quot; &quot;;&quot; &quot;\ \-\ &quot; &quot;"/>
    <numFmt numFmtId="206" formatCode="&quot;scale &quot;0%&quot; &quot;;&quot;&quot;\ \-0%&quot; &quot;;&quot; &quot;\ \-\ &quot; &quot;"/>
    <numFmt numFmtId="207" formatCode="&quot;experience &quot;0%&quot; &quot;;&quot;&quot;\ \-0%&quot; &quot;;&quot; &quot;\ \-\ &quot; &quot;"/>
    <numFmt numFmtId="208" formatCode="#\ ##0"/>
    <numFmt numFmtId="209" formatCode="&quot;&quot;#,##0.0&quot; &quot;;&quot;&quot;\-#,##0.0&quot; &quot;;&quot; &quot;\ \-\ &quot; &quot;"/>
    <numFmt numFmtId="210" formatCode="#,##0.00_ ;\-#,##0.00\ "/>
    <numFmt numFmtId="211" formatCode="&quot;&quot;#,##0&quot; m2&quot;;&quot;&quot;\-#,##0&quot;&quot;;&quot; &quot;\ \-\ &quot; &quot;"/>
    <numFmt numFmtId="212" formatCode="&quot;&quot;#,##0&quot; kW&quot;;&quot;&quot;\-#,##0&quot;&quot;;&quot; &quot;\ \-\ &quot; &quot;"/>
    <numFmt numFmtId="213" formatCode="#,##0&quot; #/park&quot;;;&quot; &quot;\ \-\ &quot;&quot;"/>
    <numFmt numFmtId="214" formatCode="0_ ;\-0\ "/>
    <numFmt numFmtId="215" formatCode="#,##0.0_ ;\-#,##0.0\ "/>
    <numFmt numFmtId="216" formatCode="#,##0.000_ ;\-#,##0.000\ "/>
    <numFmt numFmtId="217" formatCode="0.00_ ;\-0.00\ "/>
    <numFmt numFmtId="218" formatCode="0.0000_ ;\-0.0000\ "/>
    <numFmt numFmtId="219" formatCode="0.000_ ;\-0.000\ "/>
    <numFmt numFmtId="220" formatCode="&quot;&quot;#,##0.00&quot; &quot;;&quot;&quot;\-#,##0.00&quot; &quot;;&quot; &quot;\ \-\ &quot; &quot;"/>
    <numFmt numFmtId="221" formatCode="#,##0_ ;\-#,##0\ "/>
    <numFmt numFmtId="222" formatCode="&quot;&quot;#,##0.00&quot; &quot;;&quot;&quot;\ \-#,##0.00&quot; &quot;;&quot; &quot;\ \-\ &quot; &quot;"/>
    <numFmt numFmtId="223" formatCode="&quot;&quot;#,##0.000&quot; &quot;;&quot;&quot;\ \-#,##0.000&quot; &quot;;&quot; &quot;\ \-\ &quot; &quot;"/>
    <numFmt numFmtId="224" formatCode="&quot;&quot;0.0%&quot; &quot;;&quot;&quot;\ \-0.0%&quot; &quot;;&quot; &quot;\ \-\ &quot; &quot;"/>
    <numFmt numFmtId="225" formatCode="0.0000000"/>
    <numFmt numFmtId="226" formatCode="&quot;&quot;0.0000%&quot; &quot;;&quot;&quot;\ \-0.0000%&quot; &quot;;&quot; &quot;\ \-\ &quot; &quot;"/>
    <numFmt numFmtId="227" formatCode="&quot;&quot;#,##0.0000&quot; &quot;;&quot;&quot;\ \-#,##0.0000&quot; &quot;;&quot; &quot;\ \-\ &quot; &quot;"/>
    <numFmt numFmtId="228" formatCode="0.0000"/>
  </numFmts>
  <fonts count="111" x14ac:knownFonts="1">
    <font>
      <sz val="10"/>
      <color theme="1"/>
      <name val="Nunito Light"/>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Nunito Light"/>
      <family val="2"/>
    </font>
    <font>
      <b/>
      <u/>
      <sz val="14"/>
      <color theme="1"/>
      <name val="Nunito"/>
    </font>
    <font>
      <sz val="11"/>
      <color theme="1"/>
      <name val="Calibri"/>
      <family val="2"/>
      <charset val="1"/>
      <scheme val="minor"/>
    </font>
    <font>
      <sz val="11"/>
      <color theme="1"/>
      <name val="Nunito Light"/>
    </font>
    <font>
      <sz val="11"/>
      <color rgb="FF0000FF"/>
      <name val="Nunito Light"/>
    </font>
    <font>
      <b/>
      <sz val="9"/>
      <color indexed="81"/>
      <name val="Tahoma"/>
      <family val="2"/>
    </font>
    <font>
      <sz val="9"/>
      <color indexed="81"/>
      <name val="Tahoma"/>
      <family val="2"/>
    </font>
    <font>
      <b/>
      <sz val="11"/>
      <color theme="1"/>
      <name val="Calibri"/>
      <family val="2"/>
      <charset val="1"/>
      <scheme val="minor"/>
    </font>
    <font>
      <sz val="10"/>
      <color theme="1"/>
      <name val="Nunito Light"/>
    </font>
    <font>
      <b/>
      <u/>
      <sz val="10"/>
      <color theme="1"/>
      <name val="Nunito Light"/>
    </font>
    <font>
      <b/>
      <sz val="10"/>
      <color theme="1"/>
      <name val="Nunito Light"/>
    </font>
    <font>
      <b/>
      <u/>
      <sz val="11"/>
      <name val="Nunito"/>
    </font>
    <font>
      <sz val="8"/>
      <name val="Nunito Light"/>
    </font>
    <font>
      <b/>
      <u/>
      <sz val="10"/>
      <name val="Nunito Light"/>
    </font>
    <font>
      <sz val="10"/>
      <name val="Nunito Light"/>
    </font>
    <font>
      <b/>
      <sz val="10"/>
      <name val="Nunito Light"/>
    </font>
    <font>
      <sz val="10"/>
      <color rgb="FF00B050"/>
      <name val="Nunito Light"/>
    </font>
    <font>
      <sz val="10"/>
      <color rgb="FFFF0000"/>
      <name val="Nunito Light"/>
    </font>
    <font>
      <sz val="10"/>
      <color rgb="FF0000FF"/>
      <name val="Nunito Light"/>
    </font>
    <font>
      <sz val="10"/>
      <color theme="5" tint="-0.249977111117893"/>
      <name val="Nunito Light"/>
    </font>
    <font>
      <vertAlign val="subscript"/>
      <sz val="10"/>
      <name val="Nunito Light"/>
    </font>
    <font>
      <i/>
      <sz val="10"/>
      <color rgb="FF000000"/>
      <name val="Nunito Light"/>
    </font>
    <font>
      <sz val="10"/>
      <color rgb="FF000000"/>
      <name val="Nunito Light"/>
    </font>
    <font>
      <sz val="10"/>
      <color indexed="12"/>
      <name val="Nunito Light"/>
    </font>
    <font>
      <b/>
      <u/>
      <sz val="11"/>
      <color theme="1"/>
      <name val="Nunito"/>
    </font>
    <font>
      <b/>
      <sz val="10"/>
      <color indexed="12"/>
      <name val="Nunito Light"/>
    </font>
    <font>
      <sz val="8"/>
      <color rgb="FF000000"/>
      <name val="Segoe UI"/>
      <family val="2"/>
    </font>
    <font>
      <b/>
      <u/>
      <sz val="14"/>
      <color theme="1"/>
      <name val="Open Sans"/>
      <family val="2"/>
    </font>
    <font>
      <sz val="10"/>
      <color theme="1"/>
      <name val="Open Sans"/>
      <family val="2"/>
    </font>
    <font>
      <sz val="10"/>
      <color theme="0"/>
      <name val="Open Sans"/>
      <family val="2"/>
    </font>
    <font>
      <b/>
      <u/>
      <sz val="10"/>
      <color theme="1"/>
      <name val="Open Sans"/>
      <family val="2"/>
    </font>
    <font>
      <sz val="10"/>
      <name val="Open Sans"/>
      <family val="2"/>
    </font>
    <font>
      <b/>
      <sz val="12"/>
      <color theme="1"/>
      <name val="Open Sans"/>
      <family val="2"/>
    </font>
    <font>
      <b/>
      <sz val="10"/>
      <color indexed="12"/>
      <name val="Open Sans"/>
      <family val="2"/>
    </font>
    <font>
      <b/>
      <sz val="10"/>
      <color theme="1"/>
      <name val="Open Sans"/>
      <family val="2"/>
    </font>
    <font>
      <sz val="10"/>
      <color rgb="FFFF0000"/>
      <name val="Open Sans"/>
      <family val="2"/>
    </font>
    <font>
      <sz val="10"/>
      <color indexed="12"/>
      <name val="Open Sans"/>
      <family val="2"/>
    </font>
    <font>
      <sz val="12"/>
      <color theme="1"/>
      <name val="Open Sans"/>
      <family val="2"/>
    </font>
    <font>
      <sz val="12"/>
      <name val="Open Sans"/>
      <family val="2"/>
    </font>
    <font>
      <b/>
      <sz val="12"/>
      <name val="Open Sans"/>
      <family val="2"/>
    </font>
    <font>
      <u/>
      <sz val="10"/>
      <name val="Open Sans"/>
      <family val="2"/>
    </font>
    <font>
      <sz val="10"/>
      <color rgb="FF00B050"/>
      <name val="Open Sans"/>
      <family val="2"/>
    </font>
    <font>
      <b/>
      <u/>
      <sz val="10"/>
      <name val="Open Sans"/>
      <family val="2"/>
    </font>
    <font>
      <sz val="11"/>
      <color theme="1"/>
      <name val="Open Sans"/>
      <family val="2"/>
    </font>
    <font>
      <b/>
      <sz val="11"/>
      <color theme="1"/>
      <name val="Open Sans"/>
      <family val="2"/>
    </font>
    <font>
      <sz val="11"/>
      <color theme="0" tint="-4.9989318521683403E-2"/>
      <name val="Open Sans"/>
      <family val="2"/>
    </font>
    <font>
      <sz val="11"/>
      <name val="Open Sans"/>
      <family val="2"/>
    </font>
    <font>
      <i/>
      <sz val="10"/>
      <color theme="1"/>
      <name val="Open Sans"/>
      <family val="2"/>
    </font>
    <font>
      <i/>
      <sz val="8"/>
      <color theme="1"/>
      <name val="Open Sans"/>
      <family val="2"/>
    </font>
    <font>
      <b/>
      <sz val="10"/>
      <name val="Open Sans"/>
      <family val="2"/>
    </font>
    <font>
      <sz val="10"/>
      <color rgb="FF0000FF"/>
      <name val="Open Sans"/>
      <family val="2"/>
    </font>
    <font>
      <i/>
      <sz val="10"/>
      <name val="Open Sans"/>
      <family val="2"/>
    </font>
    <font>
      <sz val="10"/>
      <color theme="0" tint="-0.249977111117893"/>
      <name val="Open Sans"/>
      <family val="2"/>
    </font>
    <font>
      <sz val="9"/>
      <color theme="1"/>
      <name val="Arial"/>
      <family val="2"/>
    </font>
    <font>
      <sz val="9"/>
      <color rgb="FF000000"/>
      <name val="Arial"/>
      <family val="2"/>
    </font>
    <font>
      <b/>
      <sz val="9"/>
      <color rgb="FFFFFFFF"/>
      <name val="Arial"/>
      <family val="2"/>
    </font>
    <font>
      <sz val="9"/>
      <color rgb="FF0070C0"/>
      <name val="Arial"/>
      <family val="2"/>
    </font>
    <font>
      <b/>
      <sz val="11"/>
      <color theme="1"/>
      <name val="Calibri"/>
      <family val="2"/>
      <scheme val="minor"/>
    </font>
    <font>
      <b/>
      <sz val="10"/>
      <color theme="1"/>
      <name val="Open Sans"/>
      <family val="2"/>
    </font>
    <font>
      <b/>
      <sz val="10"/>
      <color rgb="FF0000FF"/>
      <name val="Nunito Light"/>
    </font>
    <font>
      <sz val="9"/>
      <name val="Nunito Light"/>
    </font>
    <font>
      <i/>
      <sz val="10"/>
      <name val="Nunito Light"/>
    </font>
    <font>
      <sz val="10"/>
      <color theme="0" tint="-0.249977111117893"/>
      <name val="Nunito Light"/>
    </font>
    <font>
      <b/>
      <sz val="12"/>
      <color theme="1"/>
      <name val="Nunito Light"/>
    </font>
    <font>
      <i/>
      <u/>
      <sz val="10"/>
      <color theme="1"/>
      <name val="Open Sans"/>
      <family val="2"/>
    </font>
    <font>
      <b/>
      <sz val="12"/>
      <color rgb="FFFF0000"/>
      <name val="Open Sans"/>
      <family val="2"/>
    </font>
    <font>
      <b/>
      <sz val="10"/>
      <color rgb="FF0000FF"/>
      <name val="Open Sans"/>
      <family val="2"/>
    </font>
    <font>
      <b/>
      <sz val="10"/>
      <color theme="0"/>
      <name val="Open Sans"/>
      <family val="2"/>
    </font>
    <font>
      <i/>
      <sz val="10"/>
      <color theme="0"/>
      <name val="Open Sans"/>
      <family val="2"/>
    </font>
    <font>
      <b/>
      <sz val="11"/>
      <color theme="0"/>
      <name val="Open Sans"/>
      <family val="2"/>
    </font>
    <font>
      <sz val="12"/>
      <color theme="0"/>
      <name val="Open Sans"/>
      <family val="2"/>
    </font>
    <font>
      <b/>
      <sz val="12"/>
      <color theme="0"/>
      <name val="Open Sans"/>
      <family val="2"/>
    </font>
    <font>
      <sz val="11"/>
      <color theme="0"/>
      <name val="Open Sans"/>
      <family val="2"/>
    </font>
    <font>
      <b/>
      <sz val="10"/>
      <color theme="1"/>
      <name val="Open Sans"/>
      <family val="2"/>
    </font>
    <font>
      <b/>
      <u/>
      <sz val="10"/>
      <color theme="1"/>
      <name val="Open Sans"/>
      <family val="2"/>
    </font>
    <font>
      <b/>
      <u/>
      <sz val="14"/>
      <color theme="1"/>
      <name val="Nunito Light"/>
    </font>
    <font>
      <b/>
      <sz val="10"/>
      <name val="Open Sans"/>
      <family val="2"/>
    </font>
    <font>
      <b/>
      <u/>
      <sz val="10"/>
      <name val="Open Sans"/>
      <family val="2"/>
    </font>
    <font>
      <b/>
      <sz val="10"/>
      <color theme="1"/>
      <name val="Nunito"/>
    </font>
    <font>
      <sz val="10"/>
      <color theme="0"/>
      <name val="Nunito Light"/>
    </font>
    <font>
      <vertAlign val="subscript"/>
      <sz val="10"/>
      <color rgb="FF00B050"/>
      <name val="Nunito Light"/>
    </font>
    <font>
      <sz val="10"/>
      <color theme="7" tint="0.79998168889431442"/>
      <name val="Nunito Light"/>
    </font>
    <font>
      <b/>
      <u/>
      <sz val="14"/>
      <name val="Open Sans"/>
      <family val="2"/>
    </font>
    <font>
      <sz val="11"/>
      <color rgb="FF0000FF"/>
      <name val="Open Sans"/>
      <family val="2"/>
    </font>
    <font>
      <sz val="11"/>
      <color indexed="12"/>
      <name val="Open Sans"/>
      <family val="2"/>
    </font>
    <font>
      <sz val="10"/>
      <color rgb="FF00B0F0"/>
      <name val="Nunito Light"/>
    </font>
    <font>
      <sz val="11"/>
      <color rgb="FF00B0F0"/>
      <name val="Open Sans"/>
      <family val="2"/>
    </font>
    <font>
      <b/>
      <sz val="11"/>
      <name val="Open Sans"/>
      <family val="2"/>
    </font>
    <font>
      <b/>
      <sz val="11"/>
      <name val="Open Sans"/>
      <family val="2"/>
    </font>
    <font>
      <i/>
      <sz val="11"/>
      <name val="Open Sans"/>
      <family val="2"/>
    </font>
    <font>
      <i/>
      <sz val="9"/>
      <color theme="1"/>
      <name val="Nunito Light"/>
    </font>
    <font>
      <sz val="11"/>
      <name val="Open Sans"/>
      <family val="2"/>
    </font>
    <font>
      <i/>
      <sz val="11"/>
      <name val="Open Sans"/>
      <family val="2"/>
    </font>
    <font>
      <u/>
      <sz val="10"/>
      <color theme="10"/>
      <name val="Nunito Light"/>
    </font>
    <font>
      <sz val="11"/>
      <color rgb="FF9C0006"/>
      <name val="Calibri"/>
      <family val="2"/>
      <scheme val="minor"/>
    </font>
    <font>
      <i/>
      <sz val="11"/>
      <color indexed="12"/>
      <name val="Open Sans"/>
      <family val="2"/>
    </font>
    <font>
      <b/>
      <u/>
      <sz val="11"/>
      <name val="Open Sans"/>
      <family val="2"/>
    </font>
    <font>
      <b/>
      <u/>
      <sz val="14"/>
      <color theme="0" tint="-0.249977111117893"/>
      <name val="Open Sans"/>
      <family val="2"/>
    </font>
    <font>
      <sz val="11"/>
      <color theme="0" tint="-0.249977111117893"/>
      <name val="Open Sans"/>
      <family val="2"/>
    </font>
    <font>
      <sz val="11"/>
      <color theme="0" tint="-0.249977111117893"/>
      <name val="Calibri"/>
      <family val="2"/>
      <scheme val="minor"/>
    </font>
    <font>
      <sz val="11"/>
      <name val="Calibri"/>
      <family val="2"/>
      <scheme val="minor"/>
    </font>
    <font>
      <b/>
      <sz val="11"/>
      <color theme="0" tint="-0.249977111117893"/>
      <name val="Calibri"/>
      <family val="2"/>
      <scheme val="minor"/>
    </font>
    <font>
      <b/>
      <sz val="11"/>
      <color rgb="FF0000FF"/>
      <name val="Nunito Light"/>
    </font>
    <font>
      <b/>
      <i/>
      <sz val="11"/>
      <name val="Open Sans"/>
      <family val="2"/>
    </font>
    <font>
      <sz val="11"/>
      <name val="Nunito Light"/>
    </font>
  </fonts>
  <fills count="39">
    <fill>
      <patternFill patternType="none"/>
    </fill>
    <fill>
      <patternFill patternType="gray125"/>
    </fill>
    <fill>
      <patternFill patternType="solid">
        <fgColor theme="0" tint="-0.14999847407452621"/>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2"/>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CCFFCC"/>
        <bgColor indexed="64"/>
      </patternFill>
    </fill>
    <fill>
      <patternFill patternType="solid">
        <fgColor rgb="FFFFFF99"/>
        <bgColor indexed="64"/>
      </patternFill>
    </fill>
    <fill>
      <patternFill patternType="solid">
        <fgColor theme="5" tint="0.79998168889431442"/>
        <bgColor indexed="64"/>
      </patternFill>
    </fill>
    <fill>
      <patternFill patternType="solid">
        <fgColor theme="0"/>
        <bgColor indexed="64"/>
      </patternFill>
    </fill>
    <fill>
      <patternFill patternType="solid">
        <fgColor rgb="FFCCFFCC"/>
        <bgColor rgb="FF000000"/>
      </patternFill>
    </fill>
    <fill>
      <patternFill patternType="solid">
        <fgColor rgb="FFFFFCF3"/>
        <bgColor indexed="64"/>
      </patternFill>
    </fill>
    <fill>
      <patternFill patternType="solid">
        <fgColor rgb="FFFFE7E7"/>
        <bgColor indexed="64"/>
      </patternFill>
    </fill>
    <fill>
      <patternFill patternType="solid">
        <fgColor rgb="FFFFC000"/>
        <bgColor indexed="64"/>
      </patternFill>
    </fill>
    <fill>
      <patternFill patternType="solid">
        <fgColor theme="7" tint="0.39997558519241921"/>
        <bgColor indexed="64"/>
      </patternFill>
    </fill>
    <fill>
      <patternFill patternType="solid">
        <fgColor rgb="FFFF99FF"/>
        <bgColor indexed="64"/>
      </patternFill>
    </fill>
    <fill>
      <patternFill patternType="solid">
        <fgColor rgb="FFFFFF00"/>
        <bgColor indexed="64"/>
      </patternFill>
    </fill>
    <fill>
      <patternFill patternType="solid">
        <fgColor rgb="FFFFFFCC"/>
        <bgColor indexed="64"/>
      </patternFill>
    </fill>
    <fill>
      <patternFill patternType="solid">
        <fgColor rgb="FF92D050"/>
        <bgColor indexed="64"/>
      </patternFill>
    </fill>
    <fill>
      <patternFill patternType="solid">
        <fgColor rgb="FFD3D8EF"/>
        <bgColor indexed="64"/>
      </patternFill>
    </fill>
    <fill>
      <patternFill patternType="solid">
        <fgColor rgb="FF3B499F"/>
        <bgColor indexed="64"/>
      </patternFill>
    </fill>
    <fill>
      <patternFill patternType="solid">
        <fgColor theme="7" tint="0.39997558519241921"/>
        <bgColor indexed="65"/>
      </patternFill>
    </fill>
    <fill>
      <patternFill patternType="solid">
        <fgColor theme="5" tint="0.59999389629810485"/>
        <bgColor indexed="64"/>
      </patternFill>
    </fill>
    <fill>
      <patternFill patternType="solid">
        <fgColor rgb="FF004560"/>
        <bgColor indexed="64"/>
      </patternFill>
    </fill>
    <fill>
      <patternFill patternType="solid">
        <fgColor rgb="FF008FCB"/>
        <bgColor indexed="64"/>
      </patternFill>
    </fill>
    <fill>
      <patternFill patternType="solid">
        <fgColor rgb="FF00B0F0"/>
        <bgColor indexed="64"/>
      </patternFill>
    </fill>
    <fill>
      <patternFill patternType="solid">
        <fgColor theme="6" tint="0.79998168889431442"/>
        <bgColor indexed="64"/>
      </patternFill>
    </fill>
    <fill>
      <patternFill patternType="solid">
        <fgColor rgb="FFF9F9F9"/>
        <bgColor indexed="64"/>
      </patternFill>
    </fill>
    <fill>
      <patternFill patternType="solid">
        <fgColor rgb="FFFFF6DD"/>
        <bgColor indexed="64"/>
      </patternFill>
    </fill>
    <fill>
      <patternFill patternType="solid">
        <fgColor rgb="FFCCECFF"/>
        <bgColor indexed="64"/>
      </patternFill>
    </fill>
    <fill>
      <patternFill patternType="solid">
        <fgColor rgb="FFFFC7CE"/>
      </patternFill>
    </fill>
    <fill>
      <patternFill patternType="solid">
        <fgColor rgb="FF00B050"/>
        <bgColor indexed="64"/>
      </patternFill>
    </fill>
    <fill>
      <patternFill patternType="solid">
        <fgColor theme="9" tint="0.79998168889431442"/>
        <bgColor indexed="64"/>
      </patternFill>
    </fill>
    <fill>
      <patternFill patternType="solid">
        <fgColor theme="5"/>
        <bgColor indexed="64"/>
      </patternFill>
    </fill>
  </fills>
  <borders count="95">
    <border>
      <left/>
      <right/>
      <top/>
      <bottom/>
      <diagonal/>
    </border>
    <border>
      <left/>
      <right/>
      <top style="thin">
        <color theme="4"/>
      </top>
      <bottom style="double">
        <color theme="4"/>
      </bottom>
      <diagonal/>
    </border>
    <border>
      <left/>
      <right/>
      <top/>
      <bottom style="thin">
        <color theme="0" tint="-0.249977111117893"/>
      </bottom>
      <diagonal/>
    </border>
    <border>
      <left/>
      <right/>
      <top style="thin">
        <color theme="0" tint="-0.249977111117893"/>
      </top>
      <bottom/>
      <diagonal/>
    </border>
    <border>
      <left/>
      <right style="thin">
        <color theme="0" tint="-0.249977111117893"/>
      </right>
      <top/>
      <bottom/>
      <diagonal/>
    </border>
    <border>
      <left style="thin">
        <color theme="0" tint="-0.249977111117893"/>
      </left>
      <right/>
      <top/>
      <bottom/>
      <diagonal/>
    </border>
    <border>
      <left/>
      <right/>
      <top style="thin">
        <color theme="6" tint="0.39994506668294322"/>
      </top>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diagonal/>
    </border>
    <border>
      <left/>
      <right style="thin">
        <color theme="0" tint="-0.249977111117893"/>
      </right>
      <top/>
      <bottom style="thin">
        <color theme="0" tint="-0.249977111117893"/>
      </bottom>
      <diagonal/>
    </border>
    <border>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right/>
      <top style="thin">
        <color theme="0"/>
      </top>
      <bottom/>
      <diagonal/>
    </border>
    <border>
      <left style="thin">
        <color theme="0" tint="-0.249977111117893"/>
      </left>
      <right style="thin">
        <color theme="0" tint="-0.249977111117893"/>
      </right>
      <top style="thin">
        <color theme="0" tint="-0.249977111117893"/>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ck">
        <color auto="1"/>
      </left>
      <right style="thick">
        <color auto="1"/>
      </right>
      <top/>
      <bottom/>
      <diagonal/>
    </border>
    <border>
      <left/>
      <right/>
      <top style="thick">
        <color auto="1"/>
      </top>
      <bottom/>
      <diagonal/>
    </border>
    <border>
      <left style="medium">
        <color theme="0" tint="-0.249977111117893"/>
      </left>
      <right/>
      <top style="medium">
        <color theme="0" tint="-0.249977111117893"/>
      </top>
      <bottom style="thin">
        <color theme="0" tint="-0.249977111117893"/>
      </bottom>
      <diagonal/>
    </border>
    <border>
      <left/>
      <right/>
      <top style="medium">
        <color theme="0" tint="-0.249977111117893"/>
      </top>
      <bottom style="thin">
        <color theme="0" tint="-0.249977111117893"/>
      </bottom>
      <diagonal/>
    </border>
    <border>
      <left/>
      <right style="medium">
        <color theme="0" tint="-0.249977111117893"/>
      </right>
      <top style="medium">
        <color theme="0" tint="-0.249977111117893"/>
      </top>
      <bottom style="thin">
        <color theme="0" tint="-0.249977111117893"/>
      </bottom>
      <diagonal/>
    </border>
    <border>
      <left style="medium">
        <color theme="0" tint="-0.249977111117893"/>
      </left>
      <right/>
      <top/>
      <bottom/>
      <diagonal/>
    </border>
    <border>
      <left/>
      <right style="medium">
        <color theme="0" tint="-0.249977111117893"/>
      </right>
      <top/>
      <bottom/>
      <diagonal/>
    </border>
    <border>
      <left style="medium">
        <color theme="0" tint="-0.249977111117893"/>
      </left>
      <right/>
      <top/>
      <bottom style="thin">
        <color theme="0" tint="-0.249977111117893"/>
      </bottom>
      <diagonal/>
    </border>
    <border>
      <left/>
      <right style="medium">
        <color theme="0" tint="-0.249977111117893"/>
      </right>
      <top/>
      <bottom style="thin">
        <color theme="0" tint="-0.249977111117893"/>
      </bottom>
      <diagonal/>
    </border>
    <border>
      <left style="medium">
        <color theme="0" tint="-0.249977111117893"/>
      </left>
      <right/>
      <top style="thin">
        <color theme="0" tint="-0.249977111117893"/>
      </top>
      <bottom style="medium">
        <color theme="0" tint="-0.249977111117893"/>
      </bottom>
      <diagonal/>
    </border>
    <border>
      <left/>
      <right/>
      <top style="thin">
        <color theme="0" tint="-0.249977111117893"/>
      </top>
      <bottom style="medium">
        <color theme="0" tint="-0.249977111117893"/>
      </bottom>
      <diagonal/>
    </border>
    <border>
      <left/>
      <right style="medium">
        <color theme="0" tint="-0.249977111117893"/>
      </right>
      <top style="thin">
        <color theme="0" tint="-0.249977111117893"/>
      </top>
      <bottom style="medium">
        <color theme="0" tint="-0.249977111117893"/>
      </bottom>
      <diagonal/>
    </border>
    <border>
      <left style="thin">
        <color theme="0" tint="-0.249977111117893"/>
      </left>
      <right/>
      <top style="medium">
        <color theme="0" tint="-0.249977111117893"/>
      </top>
      <bottom style="thin">
        <color theme="0" tint="-0.249977111117893"/>
      </bottom>
      <diagonal/>
    </border>
    <border>
      <left/>
      <right style="thin">
        <color theme="0" tint="-0.249977111117893"/>
      </right>
      <top style="medium">
        <color theme="0" tint="-0.249977111117893"/>
      </top>
      <bottom style="thin">
        <color theme="0" tint="-0.249977111117893"/>
      </bottom>
      <diagonal/>
    </border>
    <border>
      <left/>
      <right style="medium">
        <color theme="0" tint="-0.249977111117893"/>
      </right>
      <top style="thin">
        <color theme="0" tint="-0.249977111117893"/>
      </top>
      <bottom/>
      <diagonal/>
    </border>
    <border>
      <left style="thin">
        <color theme="0" tint="-0.249977111117893"/>
      </left>
      <right/>
      <top style="thin">
        <color theme="0" tint="-0.249977111117893"/>
      </top>
      <bottom style="medium">
        <color theme="0" tint="-0.249977111117893"/>
      </bottom>
      <diagonal/>
    </border>
    <border>
      <left style="medium">
        <color theme="0" tint="-0.249977111117893"/>
      </left>
      <right/>
      <top style="thin">
        <color theme="0" tint="-0.249977111117893"/>
      </top>
      <bottom/>
      <diagonal/>
    </border>
    <border>
      <left style="medium">
        <color theme="0" tint="-0.249977111117893"/>
      </left>
      <right style="medium">
        <color theme="0" tint="-0.249977111117893"/>
      </right>
      <top style="medium">
        <color theme="0" tint="-0.249977111117893"/>
      </top>
      <bottom style="medium">
        <color theme="0" tint="-0.249977111117893"/>
      </bottom>
      <diagonal/>
    </border>
    <border>
      <left style="medium">
        <color theme="0" tint="-0.249977111117893"/>
      </left>
      <right/>
      <top style="medium">
        <color theme="0" tint="-0.249977111117893"/>
      </top>
      <bottom/>
      <diagonal/>
    </border>
    <border>
      <left/>
      <right style="medium">
        <color theme="0" tint="-0.249977111117893"/>
      </right>
      <top style="medium">
        <color theme="0" tint="-0.249977111117893"/>
      </top>
      <bottom/>
      <diagonal/>
    </border>
    <border>
      <left/>
      <right style="thin">
        <color theme="0" tint="-0.249977111117893"/>
      </right>
      <top style="medium">
        <color theme="0" tint="-0.249977111117893"/>
      </top>
      <bottom/>
      <diagonal/>
    </border>
    <border>
      <left/>
      <right/>
      <top style="medium">
        <color theme="0" tint="-0.249977111117893"/>
      </top>
      <bottom/>
      <diagonal/>
    </border>
    <border>
      <left style="thin">
        <color theme="0" tint="-0.249977111117893"/>
      </left>
      <right/>
      <top style="medium">
        <color theme="0" tint="-0.249977111117893"/>
      </top>
      <bottom/>
      <diagonal/>
    </border>
    <border>
      <left/>
      <right/>
      <top/>
      <bottom style="medium">
        <color theme="0" tint="-0.249977111117893"/>
      </bottom>
      <diagonal/>
    </border>
    <border>
      <left style="medium">
        <color theme="0" tint="-0.249977111117893"/>
      </left>
      <right/>
      <top/>
      <bottom style="medium">
        <color theme="0" tint="-0.249977111117893"/>
      </bottom>
      <diagonal/>
    </border>
    <border>
      <left/>
      <right style="medium">
        <color theme="0" tint="-0.249977111117893"/>
      </right>
      <top/>
      <bottom style="medium">
        <color theme="0" tint="-0.249977111117893"/>
      </bottom>
      <diagonal/>
    </border>
    <border>
      <left style="thin">
        <color theme="0" tint="-0.249977111117893"/>
      </left>
      <right style="medium">
        <color theme="0" tint="-0.249977111117893"/>
      </right>
      <top/>
      <bottom/>
      <diagonal/>
    </border>
    <border>
      <left/>
      <right style="thin">
        <color theme="0" tint="-0.249977111117893"/>
      </right>
      <top/>
      <bottom style="medium">
        <color theme="0" tint="-0.249977111117893"/>
      </bottom>
      <diagonal/>
    </border>
    <border>
      <left style="medium">
        <color theme="0" tint="-0.249977111117893"/>
      </left>
      <right/>
      <top style="thin">
        <color theme="0" tint="-0.249977111117893"/>
      </top>
      <bottom style="thin">
        <color theme="0" tint="-0.249977111117893"/>
      </bottom>
      <diagonal/>
    </border>
    <border>
      <left/>
      <right style="medium">
        <color theme="0" tint="-0.249977111117893"/>
      </right>
      <top style="thin">
        <color theme="0" tint="-0.249977111117893"/>
      </top>
      <bottom style="thin">
        <color theme="0" tint="-0.249977111117893"/>
      </bottom>
      <diagonal/>
    </border>
    <border>
      <left style="medium">
        <color theme="0" tint="-0.249977111117893"/>
      </left>
      <right/>
      <top style="medium">
        <color theme="0" tint="-0.249977111117893"/>
      </top>
      <bottom style="medium">
        <color theme="0" tint="-0.249977111117893"/>
      </bottom>
      <diagonal/>
    </border>
    <border>
      <left/>
      <right/>
      <top style="medium">
        <color theme="0" tint="-0.249977111117893"/>
      </top>
      <bottom style="medium">
        <color theme="0" tint="-0.249977111117893"/>
      </bottom>
      <diagonal/>
    </border>
    <border>
      <left/>
      <right style="medium">
        <color theme="0" tint="-0.249977111117893"/>
      </right>
      <top style="medium">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
      <left style="thin">
        <color theme="0" tint="-0.249977111117893"/>
      </left>
      <right/>
      <top style="medium">
        <color theme="0" tint="-0.249977111117893"/>
      </top>
      <bottom style="medium">
        <color theme="0" tint="-0.249977111117893"/>
      </bottom>
      <diagonal/>
    </border>
    <border>
      <left/>
      <right style="thin">
        <color theme="0" tint="-0.249977111117893"/>
      </right>
      <top style="medium">
        <color theme="0" tint="-0.249977111117893"/>
      </top>
      <bottom style="medium">
        <color theme="0" tint="-0.249977111117893"/>
      </bottom>
      <diagonal/>
    </border>
    <border>
      <left style="medium">
        <color theme="0" tint="-0.249977111117893"/>
      </left>
      <right/>
      <top style="thin">
        <color theme="0" tint="-0.24994659260841701"/>
      </top>
      <bottom style="medium">
        <color theme="0" tint="-0.249977111117893"/>
      </bottom>
      <diagonal/>
    </border>
    <border>
      <left/>
      <right/>
      <top style="thin">
        <color theme="0" tint="-0.24994659260841701"/>
      </top>
      <bottom style="medium">
        <color theme="0" tint="-0.249977111117893"/>
      </bottom>
      <diagonal/>
    </border>
    <border>
      <left/>
      <right style="medium">
        <color theme="0" tint="-0.249977111117893"/>
      </right>
      <top style="thin">
        <color theme="0" tint="-0.24994659260841701"/>
      </top>
      <bottom style="medium">
        <color theme="0" tint="-0.249977111117893"/>
      </bottom>
      <diagonal/>
    </border>
    <border>
      <left/>
      <right style="thin">
        <color rgb="FF0000FF"/>
      </right>
      <top/>
      <bottom/>
      <diagonal/>
    </border>
    <border>
      <left style="thin">
        <color rgb="FF0000FF"/>
      </left>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right/>
      <top/>
      <bottom style="thin">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theme="0" tint="-0.24994659260841701"/>
      </right>
      <top/>
      <bottom/>
      <diagonal/>
    </border>
    <border>
      <left/>
      <right/>
      <top style="thin">
        <color theme="0" tint="-0.2499465926084170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3">
    <xf numFmtId="0" fontId="0" fillId="0" borderId="0">
      <alignment horizontal="center" vertical="center"/>
    </xf>
    <xf numFmtId="9" fontId="5" fillId="0" borderId="0" applyFont="0" applyFill="0" applyBorder="0" applyAlignment="0" applyProtection="0"/>
    <xf numFmtId="164" fontId="5" fillId="0" borderId="0" applyFont="0" applyFill="0" applyBorder="0" applyAlignment="0" applyProtection="0"/>
    <xf numFmtId="170" fontId="9" fillId="11" borderId="0">
      <alignment horizontal="center" vertical="center"/>
    </xf>
    <xf numFmtId="178" fontId="9" fillId="12" borderId="0">
      <alignment horizontal="center" vertical="center"/>
    </xf>
    <xf numFmtId="0" fontId="6" fillId="0" borderId="0"/>
    <xf numFmtId="0" fontId="8" fillId="0" borderId="0"/>
    <xf numFmtId="178" fontId="10" fillId="17" borderId="0" applyAlignment="0" applyProtection="0"/>
    <xf numFmtId="9" fontId="8" fillId="0" borderId="0" applyFont="0" applyFill="0" applyBorder="0" applyAlignment="0" applyProtection="0"/>
    <xf numFmtId="178" fontId="9" fillId="5" borderId="6" applyAlignment="0" applyProtection="0"/>
    <xf numFmtId="0" fontId="13" fillId="0" borderId="1" applyNumberFormat="0" applyFill="0" applyAlignment="0" applyProtection="0"/>
    <xf numFmtId="0" fontId="59" fillId="0" borderId="0"/>
    <xf numFmtId="0" fontId="60" fillId="0" borderId="21" applyNumberFormat="0">
      <alignment horizontal="center" vertical="center" wrapText="1"/>
    </xf>
    <xf numFmtId="0" fontId="59" fillId="24" borderId="21" applyNumberFormat="0">
      <alignment horizontal="center" vertical="center" wrapText="1"/>
    </xf>
    <xf numFmtId="0" fontId="61" fillId="25" borderId="21" applyNumberFormat="0">
      <alignment horizontal="center" vertical="center" wrapText="1"/>
    </xf>
    <xf numFmtId="0" fontId="61" fillId="25" borderId="21" applyNumberFormat="0">
      <alignment horizontal="center" vertical="center" wrapText="1"/>
    </xf>
    <xf numFmtId="0" fontId="62" fillId="0" borderId="21" applyNumberFormat="0">
      <alignment horizontal="center" vertical="center" wrapText="1"/>
    </xf>
    <xf numFmtId="0" fontId="4" fillId="26" borderId="0" applyNumberFormat="0" applyBorder="0" applyAlignment="0" applyProtection="0"/>
    <xf numFmtId="9" fontId="3" fillId="0" borderId="0" applyFont="0" applyFill="0" applyBorder="0" applyAlignment="0" applyProtection="0"/>
    <xf numFmtId="0" fontId="2" fillId="0" borderId="0"/>
    <xf numFmtId="0" fontId="1" fillId="0" borderId="0"/>
    <xf numFmtId="0" fontId="99" fillId="0" borderId="0" applyNumberFormat="0" applyFill="0" applyBorder="0" applyAlignment="0" applyProtection="0">
      <alignment horizontal="center" vertical="center"/>
    </xf>
    <xf numFmtId="0" fontId="100" fillId="35" borderId="0" applyNumberFormat="0" applyBorder="0" applyAlignment="0" applyProtection="0"/>
  </cellStyleXfs>
  <cellXfs count="1995">
    <xf numFmtId="0" fontId="0" fillId="0" borderId="0" xfId="0">
      <alignment horizontal="center" vertical="center"/>
    </xf>
    <xf numFmtId="9" fontId="0" fillId="0" borderId="0" xfId="1" applyFont="1"/>
    <xf numFmtId="165" fontId="0" fillId="6" borderId="0" xfId="0" applyNumberFormat="1" applyFill="1">
      <alignment horizontal="center" vertical="center"/>
    </xf>
    <xf numFmtId="11" fontId="0" fillId="6" borderId="0" xfId="0" applyNumberFormat="1" applyFill="1">
      <alignment horizontal="center" vertical="center"/>
    </xf>
    <xf numFmtId="0" fontId="0" fillId="6" borderId="0" xfId="0" applyFill="1">
      <alignment horizontal="center" vertical="center"/>
    </xf>
    <xf numFmtId="167" fontId="0" fillId="6" borderId="0" xfId="0" applyNumberFormat="1" applyFill="1">
      <alignment horizontal="center" vertical="center"/>
    </xf>
    <xf numFmtId="0" fontId="7" fillId="0" borderId="0" xfId="0" applyFont="1" applyAlignment="1">
      <alignment vertical="center"/>
    </xf>
    <xf numFmtId="0" fontId="7" fillId="0" borderId="0" xfId="6" applyFont="1" applyAlignment="1">
      <alignment vertical="center"/>
    </xf>
    <xf numFmtId="0" fontId="16" fillId="10" borderId="0" xfId="0" applyFont="1" applyFill="1" applyAlignment="1">
      <alignment horizontal="left" vertical="center"/>
    </xf>
    <xf numFmtId="0" fontId="14" fillId="0" borderId="0" xfId="6" applyFont="1"/>
    <xf numFmtId="0" fontId="16" fillId="10" borderId="0" xfId="0" applyFont="1" applyFill="1" applyAlignment="1">
      <alignment horizontal="left" vertical="center" indent="1"/>
    </xf>
    <xf numFmtId="167" fontId="0" fillId="0" borderId="0" xfId="0" applyNumberFormat="1">
      <alignment horizontal="center" vertical="center"/>
    </xf>
    <xf numFmtId="0" fontId="0" fillId="6" borderId="0" xfId="0" applyFill="1" applyAlignment="1">
      <alignment horizontal="right"/>
    </xf>
    <xf numFmtId="169" fontId="0" fillId="6" borderId="0" xfId="0" applyNumberFormat="1" applyFill="1" applyAlignment="1"/>
    <xf numFmtId="11" fontId="0" fillId="6" borderId="0" xfId="0" applyNumberFormat="1" applyFill="1" applyAlignment="1"/>
    <xf numFmtId="11" fontId="0" fillId="0" borderId="0" xfId="0" applyNumberFormat="1">
      <alignment horizontal="center" vertical="center"/>
    </xf>
    <xf numFmtId="0" fontId="0" fillId="5" borderId="0" xfId="0" applyFill="1">
      <alignment horizontal="center" vertical="center"/>
    </xf>
    <xf numFmtId="0" fontId="0" fillId="9" borderId="0" xfId="0" applyFill="1">
      <alignment horizontal="center" vertical="center"/>
    </xf>
    <xf numFmtId="2" fontId="0" fillId="0" borderId="0" xfId="0" applyNumberFormat="1">
      <alignment horizontal="center" vertical="center"/>
    </xf>
    <xf numFmtId="166" fontId="0" fillId="0" borderId="0" xfId="0" applyNumberFormat="1">
      <alignment horizontal="center" vertical="center"/>
    </xf>
    <xf numFmtId="1" fontId="0" fillId="0" borderId="0" xfId="0" applyNumberFormat="1">
      <alignment horizontal="center" vertical="center"/>
    </xf>
    <xf numFmtId="1" fontId="0" fillId="4" borderId="0" xfId="0" applyNumberFormat="1" applyFill="1">
      <alignment horizontal="center" vertical="center"/>
    </xf>
    <xf numFmtId="0" fontId="0" fillId="4" borderId="0" xfId="0" applyFill="1">
      <alignment horizontal="center" vertical="center"/>
    </xf>
    <xf numFmtId="0" fontId="0" fillId="8" borderId="0" xfId="0" applyFill="1">
      <alignment horizontal="center" vertical="center"/>
    </xf>
    <xf numFmtId="11" fontId="0" fillId="8" borderId="0" xfId="0" applyNumberFormat="1" applyFill="1">
      <alignment horizontal="center" vertical="center"/>
    </xf>
    <xf numFmtId="0" fontId="0" fillId="0" borderId="0" xfId="0" applyAlignment="1">
      <alignment horizontal="left" vertical="center"/>
    </xf>
    <xf numFmtId="0" fontId="0" fillId="0" borderId="0" xfId="6" applyFont="1"/>
    <xf numFmtId="0" fontId="0" fillId="0" borderId="0" xfId="6" applyFont="1" applyAlignment="1">
      <alignment horizontal="center"/>
    </xf>
    <xf numFmtId="170" fontId="19" fillId="0" borderId="0" xfId="0" applyNumberFormat="1" applyFont="1" applyAlignment="1">
      <alignment vertical="center"/>
    </xf>
    <xf numFmtId="0" fontId="0" fillId="0" borderId="0" xfId="0" applyAlignment="1">
      <alignment horizontal="center"/>
    </xf>
    <xf numFmtId="0" fontId="0" fillId="0" borderId="0" xfId="0" applyAlignment="1">
      <alignment horizontal="left"/>
    </xf>
    <xf numFmtId="170" fontId="20" fillId="10" borderId="0" xfId="0" applyNumberFormat="1" applyFont="1" applyFill="1" applyAlignment="1">
      <alignment horizontal="center" vertical="center" wrapText="1"/>
    </xf>
    <xf numFmtId="170" fontId="0" fillId="0" borderId="0" xfId="0" applyNumberFormat="1">
      <alignment horizontal="center" vertical="center"/>
    </xf>
    <xf numFmtId="170" fontId="0" fillId="0" borderId="0" xfId="0" applyNumberFormat="1" applyAlignment="1">
      <alignment horizontal="center"/>
    </xf>
    <xf numFmtId="170" fontId="20" fillId="0" borderId="0" xfId="0" applyNumberFormat="1" applyFont="1" applyAlignment="1">
      <alignment horizontal="left" vertical="center" wrapText="1"/>
    </xf>
    <xf numFmtId="170" fontId="19" fillId="0" borderId="0" xfId="0" applyNumberFormat="1" applyFont="1"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xf>
    <xf numFmtId="170" fontId="0" fillId="0" borderId="0" xfId="0" applyNumberFormat="1" applyAlignment="1">
      <alignment horizontal="center" vertical="center" wrapText="1"/>
    </xf>
    <xf numFmtId="0" fontId="0" fillId="12" borderId="0" xfId="0" applyFill="1" applyAlignment="1">
      <alignment horizontal="center" vertical="center" wrapText="1"/>
    </xf>
    <xf numFmtId="170" fontId="21" fillId="10" borderId="0" xfId="0" applyNumberFormat="1" applyFont="1" applyFill="1" applyAlignment="1">
      <alignment vertical="center"/>
    </xf>
    <xf numFmtId="170" fontId="19" fillId="10" borderId="0" xfId="0" applyNumberFormat="1" applyFont="1" applyFill="1" applyAlignment="1">
      <alignment vertical="center"/>
    </xf>
    <xf numFmtId="170" fontId="20" fillId="10" borderId="0" xfId="0" applyNumberFormat="1" applyFont="1" applyFill="1">
      <alignment horizontal="center" vertical="center"/>
    </xf>
    <xf numFmtId="0" fontId="0" fillId="0" borderId="0" xfId="0" applyAlignment="1">
      <alignment horizontal="left" vertical="center" indent="1"/>
    </xf>
    <xf numFmtId="179" fontId="0" fillId="12" borderId="0" xfId="4" applyNumberFormat="1" applyFont="1">
      <alignment horizontal="center" vertical="center"/>
    </xf>
    <xf numFmtId="0" fontId="22" fillId="0" borderId="0" xfId="0" applyFont="1" applyAlignment="1">
      <alignment horizontal="left" vertical="center"/>
    </xf>
    <xf numFmtId="170" fontId="0" fillId="11" borderId="0" xfId="3" applyFont="1">
      <alignment horizontal="center" vertical="center"/>
    </xf>
    <xf numFmtId="0" fontId="0" fillId="0" borderId="0" xfId="0" applyAlignment="1"/>
    <xf numFmtId="0" fontId="0" fillId="0" borderId="0" xfId="0" applyAlignment="1">
      <alignment horizontal="centerContinuous" vertical="center" wrapText="1"/>
    </xf>
    <xf numFmtId="178" fontId="0" fillId="12" borderId="0" xfId="4" applyFont="1">
      <alignment horizontal="center" vertical="center"/>
    </xf>
    <xf numFmtId="9" fontId="0" fillId="11" borderId="0" xfId="1" applyFont="1" applyFill="1" applyBorder="1" applyAlignment="1">
      <alignment horizontal="center" vertical="center"/>
    </xf>
    <xf numFmtId="174" fontId="0" fillId="11" borderId="0" xfId="3" applyNumberFormat="1" applyFont="1">
      <alignment horizontal="center" vertical="center"/>
    </xf>
    <xf numFmtId="170" fontId="0" fillId="12" borderId="0" xfId="3" applyFont="1" applyFill="1">
      <alignment horizontal="center" vertical="center"/>
    </xf>
    <xf numFmtId="0" fontId="22" fillId="0" borderId="0" xfId="0" applyFont="1" applyAlignment="1">
      <alignment horizontal="left"/>
    </xf>
    <xf numFmtId="170" fontId="0" fillId="0" borderId="0" xfId="0" applyNumberFormat="1" applyAlignment="1">
      <alignment horizontal="left" vertical="center"/>
    </xf>
    <xf numFmtId="170" fontId="0" fillId="12" borderId="0" xfId="4" applyNumberFormat="1" applyFont="1">
      <alignment horizontal="center" vertical="center"/>
    </xf>
    <xf numFmtId="0" fontId="22" fillId="0" borderId="0" xfId="6" applyFont="1" applyAlignment="1">
      <alignment horizontal="left"/>
    </xf>
    <xf numFmtId="9" fontId="0" fillId="11" borderId="0" xfId="6" applyNumberFormat="1" applyFont="1" applyFill="1" applyAlignment="1">
      <alignment horizontal="center"/>
    </xf>
    <xf numFmtId="0" fontId="0" fillId="11" borderId="0" xfId="6" applyFont="1" applyFill="1" applyAlignment="1">
      <alignment horizontal="center"/>
    </xf>
    <xf numFmtId="0" fontId="0" fillId="0" borderId="0" xfId="0" applyAlignment="1">
      <alignment wrapText="1"/>
    </xf>
    <xf numFmtId="170" fontId="0" fillId="0" borderId="0" xfId="0" applyNumberFormat="1" applyAlignment="1">
      <alignment wrapText="1"/>
    </xf>
    <xf numFmtId="0" fontId="0" fillId="11" borderId="0" xfId="3" applyNumberFormat="1" applyFont="1">
      <alignment horizontal="center" vertical="center"/>
    </xf>
    <xf numFmtId="175" fontId="0" fillId="11" borderId="0" xfId="3" applyNumberFormat="1" applyFont="1">
      <alignment horizontal="center" vertical="center"/>
    </xf>
    <xf numFmtId="0" fontId="0" fillId="0" borderId="0" xfId="0" applyAlignment="1">
      <alignment horizontal="left" wrapText="1" indent="1"/>
    </xf>
    <xf numFmtId="0" fontId="20" fillId="11" borderId="0" xfId="3" applyNumberFormat="1" applyFont="1">
      <alignment horizontal="center" vertical="center"/>
    </xf>
    <xf numFmtId="0" fontId="16" fillId="0" borderId="0" xfId="0" applyFont="1" applyAlignment="1">
      <alignment horizontal="left" wrapText="1" indent="1"/>
    </xf>
    <xf numFmtId="181" fontId="0" fillId="12" borderId="0" xfId="4" applyNumberFormat="1" applyFont="1">
      <alignment horizontal="center" vertical="center"/>
    </xf>
    <xf numFmtId="167" fontId="20" fillId="11" borderId="0" xfId="3" applyNumberFormat="1" applyFont="1">
      <alignment horizontal="center" vertical="center"/>
    </xf>
    <xf numFmtId="11" fontId="0" fillId="12" borderId="0" xfId="4" applyNumberFormat="1" applyFont="1">
      <alignment horizontal="center" vertical="center"/>
    </xf>
    <xf numFmtId="11" fontId="20" fillId="11" borderId="0" xfId="3" applyNumberFormat="1" applyFont="1">
      <alignment horizontal="center" vertical="center"/>
    </xf>
    <xf numFmtId="0" fontId="0" fillId="0" borderId="0" xfId="0" applyAlignment="1">
      <alignment horizontal="right" wrapText="1"/>
    </xf>
    <xf numFmtId="2" fontId="0" fillId="12" borderId="0" xfId="4" applyNumberFormat="1" applyFont="1">
      <alignment horizontal="center" vertical="center"/>
    </xf>
    <xf numFmtId="180" fontId="0" fillId="12" borderId="0" xfId="4" applyNumberFormat="1" applyFont="1">
      <alignment horizontal="center" vertical="center"/>
    </xf>
    <xf numFmtId="0" fontId="0" fillId="0" borderId="0" xfId="0" applyAlignment="1">
      <alignment horizontal="right"/>
    </xf>
    <xf numFmtId="174" fontId="0" fillId="0" borderId="0" xfId="0" applyNumberFormat="1" applyAlignment="1">
      <alignment wrapText="1"/>
    </xf>
    <xf numFmtId="174" fontId="22" fillId="0" borderId="0" xfId="0" applyNumberFormat="1" applyFont="1" applyAlignment="1">
      <alignment horizontal="left"/>
    </xf>
    <xf numFmtId="174" fontId="0" fillId="0" borderId="0" xfId="0" applyNumberFormat="1">
      <alignment horizontal="center" vertical="center"/>
    </xf>
    <xf numFmtId="174" fontId="0" fillId="0" borderId="0" xfId="0" applyNumberFormat="1" applyAlignment="1">
      <alignment horizontal="right" wrapText="1"/>
    </xf>
    <xf numFmtId="2" fontId="0" fillId="0" borderId="0" xfId="0" applyNumberFormat="1" applyAlignment="1">
      <alignment horizontal="right" wrapText="1"/>
    </xf>
    <xf numFmtId="170" fontId="19" fillId="10" borderId="0" xfId="0" applyNumberFormat="1" applyFont="1" applyFill="1" applyAlignment="1">
      <alignment horizontal="left" vertical="center" indent="1"/>
    </xf>
    <xf numFmtId="1" fontId="0" fillId="12" borderId="0" xfId="2" applyNumberFormat="1" applyFont="1" applyFill="1" applyAlignment="1">
      <alignment horizontal="center" vertical="center"/>
    </xf>
    <xf numFmtId="0" fontId="0" fillId="0" borderId="0" xfId="6" applyFont="1" applyAlignment="1">
      <alignment horizontal="left"/>
    </xf>
    <xf numFmtId="0" fontId="20" fillId="0" borderId="0" xfId="0" applyFont="1" applyAlignment="1">
      <alignment horizontal="center"/>
    </xf>
    <xf numFmtId="0" fontId="20" fillId="0" borderId="0" xfId="0" applyFont="1">
      <alignment horizontal="center" vertical="center"/>
    </xf>
    <xf numFmtId="170" fontId="20" fillId="14" borderId="0" xfId="0" applyNumberFormat="1" applyFont="1" applyFill="1" applyAlignment="1">
      <alignment vertical="center"/>
    </xf>
    <xf numFmtId="0" fontId="23" fillId="0" borderId="0" xfId="0" applyFont="1">
      <alignment horizontal="center" vertical="center"/>
    </xf>
    <xf numFmtId="0" fontId="16" fillId="6" borderId="0" xfId="0" applyFont="1" applyFill="1" applyAlignment="1">
      <alignment horizontal="right"/>
    </xf>
    <xf numFmtId="167" fontId="16" fillId="6" borderId="0" xfId="0" applyNumberFormat="1" applyFont="1" applyFill="1" applyAlignment="1">
      <alignment horizontal="right"/>
    </xf>
    <xf numFmtId="0" fontId="16" fillId="6" borderId="0" xfId="0" applyFont="1" applyFill="1">
      <alignment horizontal="center" vertical="center"/>
    </xf>
    <xf numFmtId="0" fontId="16" fillId="0" borderId="0" xfId="0" applyFont="1">
      <alignment horizontal="center" vertical="center"/>
    </xf>
    <xf numFmtId="0" fontId="16" fillId="5" borderId="0" xfId="0" applyFont="1" applyFill="1">
      <alignment horizontal="center" vertical="center"/>
    </xf>
    <xf numFmtId="178" fontId="24" fillId="17" borderId="0" xfId="7" applyFont="1" applyAlignment="1">
      <alignment horizontal="center" vertical="center"/>
    </xf>
    <xf numFmtId="166" fontId="16" fillId="0" borderId="0" xfId="0" applyNumberFormat="1" applyFont="1">
      <alignment horizontal="center" vertical="center"/>
    </xf>
    <xf numFmtId="2" fontId="16" fillId="5" borderId="0" xfId="0" applyNumberFormat="1" applyFont="1" applyFill="1">
      <alignment horizontal="center" vertical="center"/>
    </xf>
    <xf numFmtId="2" fontId="16" fillId="0" borderId="0" xfId="0" applyNumberFormat="1" applyFont="1">
      <alignment horizontal="center" vertical="center"/>
    </xf>
    <xf numFmtId="2" fontId="16" fillId="4" borderId="0" xfId="0" applyNumberFormat="1" applyFont="1" applyFill="1">
      <alignment horizontal="center" vertical="center"/>
    </xf>
    <xf numFmtId="165" fontId="0" fillId="0" borderId="0" xfId="0" applyNumberFormat="1">
      <alignment horizontal="center" vertical="center"/>
    </xf>
    <xf numFmtId="0" fontId="0" fillId="0" borderId="0" xfId="0" applyAlignment="1">
      <alignment horizontal="left" indent="1"/>
    </xf>
    <xf numFmtId="181" fontId="0" fillId="11" borderId="0" xfId="1" applyNumberFormat="1" applyFont="1" applyFill="1" applyAlignment="1">
      <alignment horizontal="center" vertical="center"/>
    </xf>
    <xf numFmtId="0" fontId="0" fillId="0" borderId="0" xfId="0" applyAlignment="1">
      <alignment horizontal="right" vertical="center"/>
    </xf>
    <xf numFmtId="0" fontId="25" fillId="0" borderId="0" xfId="0" applyFont="1" applyAlignment="1">
      <alignment horizontal="left" indent="1"/>
    </xf>
    <xf numFmtId="0" fontId="25" fillId="0" borderId="0" xfId="0" applyFont="1">
      <alignment horizontal="center" vertical="center"/>
    </xf>
    <xf numFmtId="170" fontId="20" fillId="0" borderId="0" xfId="0" applyNumberFormat="1" applyFont="1" applyAlignment="1">
      <alignment vertical="center"/>
    </xf>
    <xf numFmtId="1"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center" wrapText="1"/>
    </xf>
    <xf numFmtId="2" fontId="0" fillId="0" borderId="0" xfId="0" applyNumberFormat="1" applyAlignment="1">
      <alignment horizontal="center" wrapText="1"/>
    </xf>
    <xf numFmtId="11" fontId="0" fillId="0" borderId="0" xfId="0" applyNumberFormat="1" applyAlignment="1">
      <alignment horizontal="center" wrapText="1"/>
    </xf>
    <xf numFmtId="1" fontId="0" fillId="0" borderId="0" xfId="0" applyNumberFormat="1" applyAlignment="1">
      <alignment horizontal="center" wrapText="1"/>
    </xf>
    <xf numFmtId="11" fontId="0" fillId="0" borderId="0" xfId="0" applyNumberFormat="1" applyAlignment="1">
      <alignment horizontal="center"/>
    </xf>
    <xf numFmtId="166" fontId="0" fillId="0" borderId="0" xfId="0" applyNumberFormat="1" applyAlignment="1">
      <alignment horizontal="center"/>
    </xf>
    <xf numFmtId="165" fontId="0" fillId="0" borderId="0" xfId="0" applyNumberFormat="1" applyAlignment="1">
      <alignment horizontal="center"/>
    </xf>
    <xf numFmtId="2" fontId="0" fillId="6" borderId="0" xfId="0" applyNumberFormat="1" applyFill="1" applyAlignment="1">
      <alignment horizontal="center"/>
    </xf>
    <xf numFmtId="1" fontId="16" fillId="6" borderId="0" xfId="0" applyNumberFormat="1" applyFont="1" applyFill="1" applyAlignment="1">
      <alignment horizontal="center"/>
    </xf>
    <xf numFmtId="165" fontId="16" fillId="6" borderId="0" xfId="0" applyNumberFormat="1" applyFont="1" applyFill="1" applyAlignment="1">
      <alignment horizontal="center"/>
    </xf>
    <xf numFmtId="2" fontId="16" fillId="7" borderId="0" xfId="0" applyNumberFormat="1" applyFont="1" applyFill="1" applyAlignment="1">
      <alignment horizontal="center"/>
    </xf>
    <xf numFmtId="2" fontId="16" fillId="2" borderId="0" xfId="0" applyNumberFormat="1" applyFont="1" applyFill="1" applyAlignment="1">
      <alignment horizontal="center"/>
    </xf>
    <xf numFmtId="0" fontId="16" fillId="0" borderId="0" xfId="0" applyFont="1" applyAlignment="1">
      <alignment horizontal="right"/>
    </xf>
    <xf numFmtId="165" fontId="16" fillId="0" borderId="0" xfId="0" applyNumberFormat="1" applyFont="1" applyAlignment="1">
      <alignment horizontal="right"/>
    </xf>
    <xf numFmtId="170" fontId="20" fillId="0" borderId="0" xfId="0" applyNumberFormat="1" applyFont="1">
      <alignment horizontal="center" vertical="center"/>
    </xf>
    <xf numFmtId="175" fontId="20" fillId="0" borderId="0" xfId="0" applyNumberFormat="1" applyFont="1" applyAlignment="1">
      <alignment vertical="center"/>
    </xf>
    <xf numFmtId="176" fontId="20" fillId="11" borderId="0" xfId="3" applyNumberFormat="1" applyFont="1">
      <alignment horizontal="center" vertical="center"/>
    </xf>
    <xf numFmtId="170" fontId="20" fillId="12" borderId="0" xfId="4" applyNumberFormat="1" applyFont="1">
      <alignment horizontal="center" vertical="center"/>
    </xf>
    <xf numFmtId="170" fontId="20" fillId="0" borderId="0" xfId="0" applyNumberFormat="1" applyFont="1" applyAlignment="1">
      <alignment horizontal="left" vertical="center" indent="1"/>
    </xf>
    <xf numFmtId="175" fontId="20" fillId="0" borderId="0" xfId="0" applyNumberFormat="1" applyFont="1">
      <alignment horizontal="center" vertical="center"/>
    </xf>
    <xf numFmtId="9" fontId="20" fillId="11" borderId="0" xfId="1" applyFont="1" applyFill="1" applyBorder="1" applyAlignment="1">
      <alignment horizontal="center" vertical="center"/>
    </xf>
    <xf numFmtId="170" fontId="20" fillId="0" borderId="0" xfId="0" applyNumberFormat="1" applyFont="1" applyAlignment="1">
      <alignment horizontal="left" vertical="center" indent="2"/>
    </xf>
    <xf numFmtId="170" fontId="20" fillId="11" borderId="0" xfId="0" applyNumberFormat="1" applyFont="1" applyFill="1">
      <alignment horizontal="center" vertical="center"/>
    </xf>
    <xf numFmtId="0" fontId="0" fillId="0" borderId="0" xfId="6" applyFont="1" applyAlignment="1">
      <alignment horizontal="left" indent="1"/>
    </xf>
    <xf numFmtId="0" fontId="0" fillId="0" borderId="0" xfId="6" applyFont="1" applyAlignment="1">
      <alignment vertical="center"/>
    </xf>
    <xf numFmtId="166" fontId="27" fillId="0" borderId="0" xfId="6" applyNumberFormat="1" applyFont="1" applyAlignment="1">
      <alignment horizontal="left"/>
    </xf>
    <xf numFmtId="170" fontId="0" fillId="11" borderId="0" xfId="6" applyNumberFormat="1" applyFont="1" applyFill="1" applyAlignment="1">
      <alignment horizontal="center"/>
    </xf>
    <xf numFmtId="166" fontId="0" fillId="12" borderId="0" xfId="6" applyNumberFormat="1" applyFont="1" applyFill="1" applyAlignment="1">
      <alignment horizontal="center"/>
    </xf>
    <xf numFmtId="166" fontId="0" fillId="15" borderId="0" xfId="6" applyNumberFormat="1" applyFont="1" applyFill="1" applyAlignment="1">
      <alignment horizontal="center"/>
    </xf>
    <xf numFmtId="0" fontId="28" fillId="0" borderId="0" xfId="6" applyFont="1" applyAlignment="1">
      <alignment horizontal="center"/>
    </xf>
    <xf numFmtId="0" fontId="28" fillId="0" borderId="0" xfId="6" applyFont="1" applyAlignment="1">
      <alignment horizontal="left" indent="1"/>
    </xf>
    <xf numFmtId="0" fontId="0" fillId="12" borderId="0" xfId="6" applyFont="1" applyFill="1" applyAlignment="1">
      <alignment horizontal="center"/>
    </xf>
    <xf numFmtId="0" fontId="28" fillId="11" borderId="0" xfId="6" applyFont="1" applyFill="1" applyAlignment="1">
      <alignment horizontal="center"/>
    </xf>
    <xf numFmtId="0" fontId="28" fillId="0" borderId="0" xfId="6" applyFont="1" applyAlignment="1">
      <alignment horizontal="left" indent="2"/>
    </xf>
    <xf numFmtId="0" fontId="0" fillId="0" borderId="0" xfId="0" applyAlignment="1">
      <alignment vertical="center"/>
    </xf>
    <xf numFmtId="170" fontId="0" fillId="0" borderId="0" xfId="6" applyNumberFormat="1" applyFont="1" applyAlignment="1">
      <alignment horizontal="center"/>
    </xf>
    <xf numFmtId="0" fontId="0" fillId="0" borderId="2" xfId="6" applyFont="1" applyBorder="1" applyAlignment="1">
      <alignment horizontal="left" indent="1"/>
    </xf>
    <xf numFmtId="170" fontId="0" fillId="12" borderId="0" xfId="6" applyNumberFormat="1" applyFont="1" applyFill="1" applyAlignment="1">
      <alignment horizontal="center"/>
    </xf>
    <xf numFmtId="170" fontId="0" fillId="12" borderId="2" xfId="6" applyNumberFormat="1" applyFont="1" applyFill="1" applyBorder="1" applyAlignment="1">
      <alignment horizontal="center"/>
    </xf>
    <xf numFmtId="0" fontId="0" fillId="0" borderId="2" xfId="6" applyFont="1" applyBorder="1"/>
    <xf numFmtId="0" fontId="20" fillId="0" borderId="0" xfId="0" applyFont="1" applyAlignment="1">
      <alignment vertical="center"/>
    </xf>
    <xf numFmtId="0" fontId="0" fillId="11" borderId="0" xfId="0" applyFill="1" applyAlignment="1">
      <alignment vertical="center"/>
    </xf>
    <xf numFmtId="0" fontId="0" fillId="12" borderId="0" xfId="0" applyFill="1" applyAlignment="1">
      <alignment vertical="center"/>
    </xf>
    <xf numFmtId="0" fontId="22" fillId="0" borderId="0" xfId="0" applyFont="1" applyAlignment="1">
      <alignment vertical="center"/>
    </xf>
    <xf numFmtId="0" fontId="20" fillId="12" borderId="0" xfId="0" applyFont="1" applyFill="1" applyAlignment="1">
      <alignment vertical="center"/>
    </xf>
    <xf numFmtId="0" fontId="20" fillId="11" borderId="0" xfId="0" applyFont="1" applyFill="1" applyAlignment="1">
      <alignment vertical="center"/>
    </xf>
    <xf numFmtId="0" fontId="0" fillId="10" borderId="0" xfId="0" applyFill="1" applyAlignment="1">
      <alignment horizontal="left" vertical="center"/>
    </xf>
    <xf numFmtId="0" fontId="0" fillId="10" borderId="0" xfId="0" applyFill="1">
      <alignment horizontal="center" vertical="center"/>
    </xf>
    <xf numFmtId="0" fontId="0" fillId="0" borderId="4" xfId="0" applyBorder="1">
      <alignment horizontal="center" vertical="center"/>
    </xf>
    <xf numFmtId="0" fontId="0" fillId="0" borderId="5" xfId="0" applyBorder="1">
      <alignment horizontal="center" vertical="center"/>
    </xf>
    <xf numFmtId="0" fontId="0" fillId="11" borderId="0" xfId="0" applyFill="1" applyAlignment="1">
      <alignment horizontal="left" vertical="center"/>
    </xf>
    <xf numFmtId="0" fontId="0" fillId="11" borderId="0" xfId="0" applyFill="1">
      <alignment horizontal="center" vertical="center"/>
    </xf>
    <xf numFmtId="0" fontId="0" fillId="12" borderId="0" xfId="0" applyFill="1" applyAlignment="1">
      <alignment horizontal="left" vertical="center"/>
    </xf>
    <xf numFmtId="0" fontId="0" fillId="12" borderId="0" xfId="0" applyFill="1">
      <alignment horizontal="center" vertical="center"/>
    </xf>
    <xf numFmtId="0" fontId="24" fillId="0" borderId="0" xfId="0" applyFont="1" applyAlignment="1">
      <alignment horizontal="left" vertical="center"/>
    </xf>
    <xf numFmtId="0" fontId="24" fillId="13" borderId="0" xfId="0" applyFont="1" applyFill="1" applyAlignment="1">
      <alignment horizontal="left" vertical="center"/>
    </xf>
    <xf numFmtId="0" fontId="24" fillId="13" borderId="0" xfId="0" applyFont="1" applyFill="1">
      <alignment horizontal="center" vertical="center"/>
    </xf>
    <xf numFmtId="0" fontId="20" fillId="0" borderId="0" xfId="0" applyFont="1" applyAlignment="1">
      <alignment horizontal="left" vertical="center"/>
    </xf>
    <xf numFmtId="170" fontId="7" fillId="0" borderId="0" xfId="0" applyNumberFormat="1" applyFont="1" applyAlignment="1">
      <alignment vertical="center"/>
    </xf>
    <xf numFmtId="166" fontId="0" fillId="11" borderId="0" xfId="6" applyNumberFormat="1" applyFont="1" applyFill="1" applyAlignment="1">
      <alignment horizontal="center"/>
    </xf>
    <xf numFmtId="0" fontId="0" fillId="20" borderId="0" xfId="6" applyFont="1" applyFill="1" applyAlignment="1">
      <alignment horizontal="center"/>
    </xf>
    <xf numFmtId="170" fontId="29" fillId="0" borderId="0" xfId="6" applyNumberFormat="1" applyFont="1" applyAlignment="1">
      <alignment horizontal="center"/>
    </xf>
    <xf numFmtId="1" fontId="0" fillId="0" borderId="0" xfId="6" applyNumberFormat="1" applyFont="1" applyAlignment="1">
      <alignment horizontal="center"/>
    </xf>
    <xf numFmtId="174" fontId="0" fillId="11" borderId="0" xfId="6" applyNumberFormat="1" applyFont="1" applyFill="1" applyAlignment="1">
      <alignment horizontal="center"/>
    </xf>
    <xf numFmtId="0" fontId="30" fillId="0" borderId="0" xfId="6" applyFont="1" applyAlignment="1">
      <alignment vertical="center"/>
    </xf>
    <xf numFmtId="170" fontId="0" fillId="16" borderId="0" xfId="6" applyNumberFormat="1" applyFont="1" applyFill="1" applyAlignment="1">
      <alignment horizontal="left"/>
    </xf>
    <xf numFmtId="0" fontId="17" fillId="0" borderId="0" xfId="6" applyFont="1" applyAlignment="1">
      <alignment vertical="center"/>
    </xf>
    <xf numFmtId="170" fontId="16" fillId="18" borderId="3" xfId="6" applyNumberFormat="1" applyFont="1" applyFill="1" applyBorder="1" applyAlignment="1">
      <alignment horizontal="center"/>
    </xf>
    <xf numFmtId="0" fontId="21" fillId="0" borderId="0" xfId="6" applyFont="1" applyAlignment="1">
      <alignment vertical="center"/>
    </xf>
    <xf numFmtId="0" fontId="20" fillId="0" borderId="0" xfId="6" applyFont="1" applyAlignment="1">
      <alignment horizontal="left" indent="1"/>
    </xf>
    <xf numFmtId="185" fontId="20" fillId="11" borderId="0" xfId="0" applyNumberFormat="1" applyFont="1" applyFill="1">
      <alignment horizontal="center" vertical="center"/>
    </xf>
    <xf numFmtId="170" fontId="20" fillId="0" borderId="2" xfId="0" applyNumberFormat="1" applyFont="1" applyBorder="1" applyAlignment="1">
      <alignment vertical="center"/>
    </xf>
    <xf numFmtId="170" fontId="21" fillId="2" borderId="0" xfId="0" applyNumberFormat="1" applyFont="1" applyFill="1" applyAlignment="1">
      <alignment vertical="center"/>
    </xf>
    <xf numFmtId="170" fontId="20" fillId="0" borderId="2" xfId="0" applyNumberFormat="1" applyFont="1" applyBorder="1">
      <alignment horizontal="center" vertical="center"/>
    </xf>
    <xf numFmtId="170" fontId="20" fillId="10" borderId="0" xfId="0" applyNumberFormat="1" applyFont="1" applyFill="1" applyAlignment="1">
      <alignment horizontal="centerContinuous" vertical="center" wrapText="1"/>
    </xf>
    <xf numFmtId="170" fontId="20" fillId="10" borderId="0" xfId="0" applyNumberFormat="1" applyFont="1" applyFill="1" applyAlignment="1">
      <alignment vertical="center"/>
    </xf>
    <xf numFmtId="170" fontId="29" fillId="0" borderId="0" xfId="0" applyNumberFormat="1" applyFont="1" applyAlignment="1">
      <alignment vertical="center"/>
    </xf>
    <xf numFmtId="170" fontId="22" fillId="0" borderId="0" xfId="0" applyNumberFormat="1" applyFont="1" applyAlignment="1">
      <alignment vertical="center"/>
    </xf>
    <xf numFmtId="1" fontId="20" fillId="0" borderId="0" xfId="0" applyNumberFormat="1" applyFont="1" applyAlignment="1">
      <alignment vertical="center"/>
    </xf>
    <xf numFmtId="170" fontId="0" fillId="11" borderId="2" xfId="6" applyNumberFormat="1" applyFont="1" applyFill="1" applyBorder="1" applyAlignment="1">
      <alignment horizontal="center"/>
    </xf>
    <xf numFmtId="166" fontId="0" fillId="12" borderId="2" xfId="6" applyNumberFormat="1" applyFont="1" applyFill="1" applyBorder="1" applyAlignment="1">
      <alignment horizontal="center"/>
    </xf>
    <xf numFmtId="166" fontId="0" fillId="11" borderId="2" xfId="6" applyNumberFormat="1" applyFont="1" applyFill="1" applyBorder="1" applyAlignment="1">
      <alignment horizontal="center"/>
    </xf>
    <xf numFmtId="0" fontId="28" fillId="0" borderId="2" xfId="6" applyFont="1" applyBorder="1" applyAlignment="1">
      <alignment horizontal="left" indent="1"/>
    </xf>
    <xf numFmtId="0" fontId="0" fillId="0" borderId="2" xfId="6" applyFont="1" applyBorder="1" applyAlignment="1">
      <alignment horizontal="center"/>
    </xf>
    <xf numFmtId="0" fontId="20" fillId="0" borderId="2" xfId="6" applyFont="1" applyBorder="1" applyAlignment="1">
      <alignment horizontal="left" indent="1"/>
    </xf>
    <xf numFmtId="172" fontId="24" fillId="0" borderId="0" xfId="3" applyNumberFormat="1" applyFont="1" applyFill="1">
      <alignment horizontal="center" vertical="center"/>
    </xf>
    <xf numFmtId="174" fontId="0" fillId="12" borderId="0" xfId="1" applyNumberFormat="1" applyFont="1" applyFill="1" applyAlignment="1">
      <alignment horizontal="center" vertical="center"/>
    </xf>
    <xf numFmtId="174" fontId="0" fillId="0" borderId="0" xfId="1" applyNumberFormat="1" applyFont="1" applyBorder="1"/>
    <xf numFmtId="174" fontId="0" fillId="0" borderId="0" xfId="6" applyNumberFormat="1" applyFont="1" applyAlignment="1">
      <alignment horizontal="center"/>
    </xf>
    <xf numFmtId="170" fontId="21" fillId="0" borderId="0" xfId="0" applyNumberFormat="1" applyFont="1" applyAlignment="1">
      <alignment vertical="center"/>
    </xf>
    <xf numFmtId="170" fontId="20" fillId="0" borderId="0" xfId="4" applyNumberFormat="1" applyFont="1" applyFill="1" applyAlignment="1">
      <alignment vertical="center"/>
    </xf>
    <xf numFmtId="174" fontId="20" fillId="0" borderId="0" xfId="0" applyNumberFormat="1" applyFont="1" applyAlignment="1">
      <alignment vertical="center"/>
    </xf>
    <xf numFmtId="170" fontId="20" fillId="2" borderId="0" xfId="0" applyNumberFormat="1" applyFont="1" applyFill="1" applyAlignment="1">
      <alignment vertical="center"/>
    </xf>
    <xf numFmtId="170" fontId="0" fillId="5" borderId="0" xfId="6" applyNumberFormat="1" applyFont="1" applyFill="1" applyAlignment="1">
      <alignment vertical="center"/>
    </xf>
    <xf numFmtId="170" fontId="0" fillId="3" borderId="0" xfId="6" applyNumberFormat="1" applyFont="1" applyFill="1" applyAlignment="1">
      <alignment vertical="center"/>
    </xf>
    <xf numFmtId="170" fontId="0" fillId="0" borderId="0" xfId="6" applyNumberFormat="1" applyFont="1" applyAlignment="1">
      <alignment vertical="center"/>
    </xf>
    <xf numFmtId="170" fontId="20" fillId="2" borderId="0" xfId="3" applyFont="1" applyFill="1" applyAlignment="1">
      <alignment vertical="center"/>
    </xf>
    <xf numFmtId="170" fontId="0" fillId="5" borderId="0" xfId="6" applyNumberFormat="1" applyFont="1" applyFill="1" applyAlignment="1">
      <alignment horizontal="left" vertical="center" indent="1"/>
    </xf>
    <xf numFmtId="170" fontId="20" fillId="0" borderId="0" xfId="6" applyNumberFormat="1" applyFont="1" applyAlignment="1">
      <alignment vertical="center"/>
    </xf>
    <xf numFmtId="170" fontId="20" fillId="5" borderId="0" xfId="0" applyNumberFormat="1" applyFont="1" applyFill="1" applyAlignment="1">
      <alignment vertical="center"/>
    </xf>
    <xf numFmtId="175" fontId="21" fillId="0" borderId="0" xfId="0" applyNumberFormat="1" applyFont="1" applyAlignment="1">
      <alignment vertical="center"/>
    </xf>
    <xf numFmtId="170" fontId="20" fillId="5" borderId="0" xfId="6" applyNumberFormat="1" applyFont="1" applyFill="1" applyAlignment="1">
      <alignment horizontal="left" vertical="center" indent="1"/>
    </xf>
    <xf numFmtId="170" fontId="20" fillId="10" borderId="5" xfId="0" applyNumberFormat="1" applyFont="1" applyFill="1" applyBorder="1">
      <alignment horizontal="center" vertical="center"/>
    </xf>
    <xf numFmtId="170" fontId="20" fillId="0" borderId="5" xfId="0" applyNumberFormat="1" applyFont="1" applyBorder="1" applyAlignment="1">
      <alignment vertical="center"/>
    </xf>
    <xf numFmtId="170" fontId="20" fillId="10" borderId="4" xfId="0" applyNumberFormat="1" applyFont="1" applyFill="1" applyBorder="1">
      <alignment horizontal="center" vertical="center"/>
    </xf>
    <xf numFmtId="0" fontId="22" fillId="0" borderId="0" xfId="0" applyFont="1" applyAlignment="1"/>
    <xf numFmtId="170" fontId="20" fillId="0" borderId="11" xfId="0" applyNumberFormat="1" applyFont="1" applyBorder="1" applyAlignment="1">
      <alignment vertical="center"/>
    </xf>
    <xf numFmtId="170" fontId="20" fillId="0" borderId="5" xfId="0" applyNumberFormat="1" applyFont="1" applyBorder="1">
      <alignment horizontal="center" vertical="center"/>
    </xf>
    <xf numFmtId="170" fontId="0" fillId="5" borderId="0" xfId="6" applyNumberFormat="1" applyFont="1" applyFill="1" applyAlignment="1">
      <alignment horizontal="center" vertical="center"/>
    </xf>
    <xf numFmtId="170" fontId="20" fillId="0" borderId="4" xfId="0" applyNumberFormat="1" applyFont="1" applyBorder="1">
      <alignment horizontal="center" vertical="center"/>
    </xf>
    <xf numFmtId="170" fontId="20" fillId="12" borderId="2" xfId="4" applyNumberFormat="1" applyFont="1" applyBorder="1">
      <alignment horizontal="center" vertical="center"/>
    </xf>
    <xf numFmtId="1" fontId="20" fillId="0" borderId="2" xfId="0" applyNumberFormat="1" applyFont="1" applyBorder="1" applyAlignment="1">
      <alignment vertical="center"/>
    </xf>
    <xf numFmtId="170" fontId="0" fillId="5" borderId="5" xfId="6" applyNumberFormat="1" applyFont="1" applyFill="1" applyBorder="1" applyAlignment="1">
      <alignment horizontal="center" vertical="center"/>
    </xf>
    <xf numFmtId="170" fontId="0" fillId="5" borderId="4" xfId="6" applyNumberFormat="1" applyFont="1" applyFill="1" applyBorder="1" applyAlignment="1">
      <alignment horizontal="center" vertical="center"/>
    </xf>
    <xf numFmtId="170" fontId="20" fillId="10" borderId="3" xfId="0" applyNumberFormat="1" applyFont="1" applyFill="1" applyBorder="1" applyAlignment="1">
      <alignment horizontal="centerContinuous" vertical="center" wrapText="1"/>
    </xf>
    <xf numFmtId="175" fontId="20" fillId="10" borderId="0" xfId="0" applyNumberFormat="1" applyFont="1" applyFill="1">
      <alignment horizontal="center" vertical="center"/>
    </xf>
    <xf numFmtId="170" fontId="20" fillId="10" borderId="2" xfId="0" applyNumberFormat="1" applyFont="1" applyFill="1" applyBorder="1" applyAlignment="1">
      <alignment vertical="center"/>
    </xf>
    <xf numFmtId="170" fontId="20" fillId="10" borderId="7" xfId="0" applyNumberFormat="1" applyFont="1" applyFill="1" applyBorder="1">
      <alignment horizontal="center" vertical="center"/>
    </xf>
    <xf numFmtId="0" fontId="20" fillId="10" borderId="2" xfId="0" applyFont="1" applyFill="1" applyBorder="1">
      <alignment horizontal="center" vertical="center"/>
    </xf>
    <xf numFmtId="170" fontId="20" fillId="10" borderId="2" xfId="0" applyNumberFormat="1" applyFont="1" applyFill="1" applyBorder="1" applyAlignment="1">
      <alignment horizontal="left" vertical="center"/>
    </xf>
    <xf numFmtId="170" fontId="20" fillId="10" borderId="9" xfId="0" applyNumberFormat="1" applyFont="1" applyFill="1" applyBorder="1">
      <alignment horizontal="center" vertical="center"/>
    </xf>
    <xf numFmtId="175" fontId="20" fillId="10" borderId="2" xfId="0" applyNumberFormat="1" applyFont="1" applyFill="1" applyBorder="1">
      <alignment horizontal="center" vertical="center"/>
    </xf>
    <xf numFmtId="170" fontId="20" fillId="10" borderId="2" xfId="0" applyNumberFormat="1" applyFont="1" applyFill="1" applyBorder="1">
      <alignment horizontal="center" vertical="center"/>
    </xf>
    <xf numFmtId="170" fontId="20" fillId="10" borderId="4" xfId="0" applyNumberFormat="1" applyFont="1" applyFill="1" applyBorder="1" applyAlignment="1">
      <alignment horizontal="center" vertical="center" wrapText="1"/>
    </xf>
    <xf numFmtId="170" fontId="16" fillId="5" borderId="3" xfId="6" applyNumberFormat="1" applyFont="1" applyFill="1" applyBorder="1" applyAlignment="1">
      <alignment horizontal="center"/>
    </xf>
    <xf numFmtId="0" fontId="16" fillId="5" borderId="3" xfId="6" applyFont="1" applyFill="1" applyBorder="1"/>
    <xf numFmtId="0" fontId="21" fillId="5" borderId="3" xfId="6" applyFont="1" applyFill="1" applyBorder="1"/>
    <xf numFmtId="0" fontId="20" fillId="11" borderId="0" xfId="6" applyFont="1" applyFill="1" applyAlignment="1">
      <alignment horizontal="center"/>
    </xf>
    <xf numFmtId="0" fontId="24" fillId="0" borderId="0" xfId="6" applyFont="1" applyAlignment="1">
      <alignment horizontal="center"/>
    </xf>
    <xf numFmtId="170" fontId="0" fillId="22" borderId="0" xfId="6" applyNumberFormat="1" applyFont="1" applyFill="1" applyAlignment="1">
      <alignment horizontal="center"/>
    </xf>
    <xf numFmtId="174" fontId="0" fillId="22" borderId="0" xfId="6" applyNumberFormat="1" applyFont="1" applyFill="1" applyAlignment="1">
      <alignment horizontal="center"/>
    </xf>
    <xf numFmtId="0" fontId="0" fillId="22" borderId="0" xfId="6" applyFont="1" applyFill="1"/>
    <xf numFmtId="175" fontId="0" fillId="22" borderId="0" xfId="6" applyNumberFormat="1" applyFont="1" applyFill="1" applyAlignment="1">
      <alignment horizontal="center"/>
    </xf>
    <xf numFmtId="0" fontId="0" fillId="22" borderId="0" xfId="6" applyFont="1" applyFill="1" applyAlignment="1">
      <alignment horizontal="left" indent="1"/>
    </xf>
    <xf numFmtId="170" fontId="0" fillId="22" borderId="0" xfId="6" applyNumberFormat="1" applyFont="1" applyFill="1" applyAlignment="1">
      <alignment horizontal="left"/>
    </xf>
    <xf numFmtId="170" fontId="24" fillId="0" borderId="0" xfId="6" applyNumberFormat="1" applyFont="1" applyAlignment="1">
      <alignment horizontal="center"/>
    </xf>
    <xf numFmtId="0" fontId="20" fillId="0" borderId="0" xfId="6" applyFont="1" applyAlignment="1">
      <alignment horizontal="center"/>
    </xf>
    <xf numFmtId="0" fontId="20" fillId="0" borderId="0" xfId="6" applyFont="1"/>
    <xf numFmtId="171" fontId="20" fillId="11" borderId="0" xfId="6" applyNumberFormat="1" applyFont="1" applyFill="1" applyAlignment="1">
      <alignment horizontal="center"/>
    </xf>
    <xf numFmtId="172" fontId="0" fillId="0" borderId="0" xfId="0" applyNumberFormat="1">
      <alignment horizontal="center" vertical="center"/>
    </xf>
    <xf numFmtId="170" fontId="0" fillId="0" borderId="0" xfId="6" applyNumberFormat="1" applyFont="1" applyAlignment="1">
      <alignment horizontal="left"/>
    </xf>
    <xf numFmtId="172" fontId="0" fillId="0" borderId="0" xfId="6" applyNumberFormat="1" applyFont="1" applyAlignment="1">
      <alignment horizontal="center"/>
    </xf>
    <xf numFmtId="0" fontId="0" fillId="0" borderId="2" xfId="0" applyBorder="1">
      <alignment horizontal="center" vertical="center"/>
    </xf>
    <xf numFmtId="0" fontId="0" fillId="12" borderId="2" xfId="6" applyFont="1" applyFill="1" applyBorder="1" applyAlignment="1">
      <alignment horizontal="center"/>
    </xf>
    <xf numFmtId="0" fontId="28" fillId="11" borderId="2" xfId="6" applyFont="1" applyFill="1" applyBorder="1" applyAlignment="1">
      <alignment horizontal="center"/>
    </xf>
    <xf numFmtId="0" fontId="28" fillId="12" borderId="0" xfId="6" applyFont="1" applyFill="1" applyAlignment="1">
      <alignment horizontal="center"/>
    </xf>
    <xf numFmtId="171" fontId="0" fillId="0" borderId="0" xfId="0" applyNumberFormat="1">
      <alignment horizontal="center" vertical="center"/>
    </xf>
    <xf numFmtId="1" fontId="24" fillId="0" borderId="0" xfId="6" applyNumberFormat="1" applyFont="1" applyAlignment="1">
      <alignment horizontal="center"/>
    </xf>
    <xf numFmtId="1" fontId="0" fillId="11" borderId="0" xfId="6" applyNumberFormat="1" applyFont="1" applyFill="1" applyAlignment="1">
      <alignment horizontal="center"/>
    </xf>
    <xf numFmtId="166" fontId="20" fillId="11" borderId="2" xfId="6" applyNumberFormat="1" applyFont="1" applyFill="1" applyBorder="1" applyAlignment="1">
      <alignment horizontal="center"/>
    </xf>
    <xf numFmtId="166" fontId="20" fillId="11" borderId="0" xfId="6" applyNumberFormat="1" applyFont="1" applyFill="1" applyAlignment="1">
      <alignment horizontal="center"/>
    </xf>
    <xf numFmtId="166" fontId="27" fillId="0" borderId="2" xfId="6" applyNumberFormat="1" applyFont="1" applyBorder="1" applyAlignment="1">
      <alignment horizontal="left"/>
    </xf>
    <xf numFmtId="166" fontId="29" fillId="0" borderId="2" xfId="6" applyNumberFormat="1" applyFont="1" applyBorder="1" applyAlignment="1">
      <alignment horizontal="center"/>
    </xf>
    <xf numFmtId="166" fontId="29" fillId="0" borderId="0" xfId="6" applyNumberFormat="1" applyFont="1" applyAlignment="1">
      <alignment horizontal="center"/>
    </xf>
    <xf numFmtId="170" fontId="20" fillId="0" borderId="0" xfId="6" applyNumberFormat="1" applyFont="1" applyAlignment="1">
      <alignment horizontal="center"/>
    </xf>
    <xf numFmtId="170" fontId="0" fillId="0" borderId="0" xfId="6" applyNumberFormat="1" applyFont="1"/>
    <xf numFmtId="170" fontId="0" fillId="22" borderId="0" xfId="6" applyNumberFormat="1" applyFont="1" applyFill="1"/>
    <xf numFmtId="170" fontId="16" fillId="5" borderId="3" xfId="6" applyNumberFormat="1" applyFont="1" applyFill="1" applyBorder="1"/>
    <xf numFmtId="170" fontId="16" fillId="18" borderId="3" xfId="6" applyNumberFormat="1" applyFont="1" applyFill="1" applyBorder="1"/>
    <xf numFmtId="170" fontId="14" fillId="0" borderId="0" xfId="6" applyNumberFormat="1" applyFont="1" applyAlignment="1">
      <alignment horizontal="center"/>
    </xf>
    <xf numFmtId="170" fontId="0" fillId="0" borderId="2" xfId="0" applyNumberFormat="1" applyBorder="1">
      <alignment horizontal="center" vertical="center"/>
    </xf>
    <xf numFmtId="174" fontId="0" fillId="0" borderId="0" xfId="6" applyNumberFormat="1" applyFont="1"/>
    <xf numFmtId="174" fontId="14" fillId="0" borderId="0" xfId="6" applyNumberFormat="1" applyFont="1"/>
    <xf numFmtId="174" fontId="0" fillId="0" borderId="0" xfId="1" applyNumberFormat="1" applyFont="1" applyFill="1" applyAlignment="1">
      <alignment horizontal="center" vertical="center"/>
    </xf>
    <xf numFmtId="174" fontId="0" fillId="0" borderId="2" xfId="1" applyNumberFormat="1" applyFont="1" applyFill="1" applyBorder="1" applyAlignment="1">
      <alignment horizontal="center" vertical="center"/>
    </xf>
    <xf numFmtId="174" fontId="0" fillId="12" borderId="2" xfId="1" applyNumberFormat="1" applyFont="1" applyFill="1" applyBorder="1" applyAlignment="1">
      <alignment horizontal="center" vertical="center"/>
    </xf>
    <xf numFmtId="174" fontId="0" fillId="0" borderId="0" xfId="6" applyNumberFormat="1" applyFont="1" applyAlignment="1">
      <alignment vertical="center"/>
    </xf>
    <xf numFmtId="174" fontId="16" fillId="5" borderId="3" xfId="6" applyNumberFormat="1" applyFont="1" applyFill="1" applyBorder="1" applyAlignment="1">
      <alignment horizontal="center"/>
    </xf>
    <xf numFmtId="174" fontId="0" fillId="0" borderId="0" xfId="0" applyNumberFormat="1" applyAlignment="1">
      <alignment horizontal="centerContinuous" vertical="center" wrapText="1"/>
    </xf>
    <xf numFmtId="174" fontId="0" fillId="0" borderId="0" xfId="1" applyNumberFormat="1" applyFont="1" applyFill="1" applyBorder="1"/>
    <xf numFmtId="174" fontId="0" fillId="0" borderId="0" xfId="1" applyNumberFormat="1" applyFont="1" applyFill="1" applyBorder="1" applyAlignment="1">
      <alignment horizontal="center"/>
    </xf>
    <xf numFmtId="174" fontId="0" fillId="0" borderId="0" xfId="1" applyNumberFormat="1" applyFont="1" applyBorder="1" applyAlignment="1">
      <alignment horizontal="center"/>
    </xf>
    <xf numFmtId="174" fontId="20" fillId="0" borderId="0" xfId="1" applyNumberFormat="1" applyFont="1" applyFill="1" applyBorder="1" applyAlignment="1">
      <alignment horizontal="center"/>
    </xf>
    <xf numFmtId="174" fontId="16" fillId="18" borderId="3" xfId="1" applyNumberFormat="1" applyFont="1" applyFill="1" applyBorder="1" applyAlignment="1">
      <alignment horizontal="center"/>
    </xf>
    <xf numFmtId="170" fontId="20" fillId="22" borderId="0" xfId="6" applyNumberFormat="1" applyFont="1" applyFill="1" applyAlignment="1">
      <alignment horizontal="left" indent="1"/>
    </xf>
    <xf numFmtId="0" fontId="14" fillId="0" borderId="0" xfId="6" applyFont="1" applyAlignment="1">
      <alignment horizontal="left" indent="1"/>
    </xf>
    <xf numFmtId="0" fontId="20" fillId="0" borderId="0" xfId="6" applyFont="1" applyAlignment="1">
      <alignment horizontal="left" indent="2"/>
    </xf>
    <xf numFmtId="0" fontId="20" fillId="0" borderId="2" xfId="6" applyFont="1" applyBorder="1" applyAlignment="1">
      <alignment horizontal="left" indent="2"/>
    </xf>
    <xf numFmtId="170" fontId="20" fillId="0" borderId="0" xfId="6" applyNumberFormat="1" applyFont="1" applyAlignment="1">
      <alignment horizontal="left" indent="2"/>
    </xf>
    <xf numFmtId="170" fontId="20" fillId="0" borderId="2" xfId="6" applyNumberFormat="1" applyFont="1" applyBorder="1" applyAlignment="1">
      <alignment horizontal="left" indent="2"/>
    </xf>
    <xf numFmtId="0" fontId="28" fillId="0" borderId="2" xfId="6" applyFont="1" applyBorder="1" applyAlignment="1">
      <alignment horizontal="left" indent="2"/>
    </xf>
    <xf numFmtId="0" fontId="0" fillId="0" borderId="0" xfId="6" applyFont="1" applyAlignment="1">
      <alignment horizontal="left" indent="2"/>
    </xf>
    <xf numFmtId="170" fontId="0" fillId="16" borderId="0" xfId="6" applyNumberFormat="1" applyFont="1" applyFill="1" applyAlignment="1">
      <alignment horizontal="left" indent="1"/>
    </xf>
    <xf numFmtId="170" fontId="0" fillId="0" borderId="0" xfId="6" applyNumberFormat="1" applyFont="1" applyAlignment="1">
      <alignment horizontal="left" indent="1"/>
    </xf>
    <xf numFmtId="0" fontId="19" fillId="0" borderId="0" xfId="6" applyFont="1" applyAlignment="1">
      <alignment vertical="center"/>
    </xf>
    <xf numFmtId="1" fontId="0" fillId="11" borderId="2" xfId="6" applyNumberFormat="1" applyFont="1" applyFill="1" applyBorder="1" applyAlignment="1">
      <alignment horizontal="center"/>
    </xf>
    <xf numFmtId="1" fontId="24" fillId="0" borderId="2" xfId="6" applyNumberFormat="1" applyFont="1" applyBorder="1" applyAlignment="1">
      <alignment horizontal="center"/>
    </xf>
    <xf numFmtId="0" fontId="0" fillId="11" borderId="2" xfId="6" applyFont="1" applyFill="1" applyBorder="1" applyAlignment="1">
      <alignment horizontal="center"/>
    </xf>
    <xf numFmtId="0" fontId="0" fillId="0" borderId="0" xfId="6" applyFont="1" applyAlignment="1">
      <alignment horizontal="left" indent="3"/>
    </xf>
    <xf numFmtId="170" fontId="0" fillId="22" borderId="0" xfId="6" applyNumberFormat="1" applyFont="1" applyFill="1" applyAlignment="1">
      <alignment horizontal="left" indent="1"/>
    </xf>
    <xf numFmtId="170" fontId="0" fillId="16" borderId="2" xfId="6" applyNumberFormat="1" applyFont="1" applyFill="1" applyBorder="1" applyAlignment="1">
      <alignment horizontal="left"/>
    </xf>
    <xf numFmtId="172" fontId="24" fillId="0" borderId="2" xfId="3" applyNumberFormat="1" applyFont="1" applyFill="1" applyBorder="1">
      <alignment horizontal="center" vertical="center"/>
    </xf>
    <xf numFmtId="170" fontId="0" fillId="16" borderId="2" xfId="6" applyNumberFormat="1" applyFont="1" applyFill="1" applyBorder="1" applyAlignment="1">
      <alignment horizontal="left" indent="1"/>
    </xf>
    <xf numFmtId="174" fontId="0" fillId="0" borderId="0" xfId="1" applyNumberFormat="1" applyFont="1" applyFill="1" applyBorder="1" applyAlignment="1">
      <alignment horizontal="center" vertical="center"/>
    </xf>
    <xf numFmtId="0" fontId="14" fillId="0" borderId="0" xfId="6" applyFont="1" applyAlignment="1">
      <alignment vertical="center"/>
    </xf>
    <xf numFmtId="170" fontId="0" fillId="0" borderId="0" xfId="6" applyNumberFormat="1" applyFont="1" applyAlignment="1">
      <alignment horizontal="left" indent="2"/>
    </xf>
    <xf numFmtId="172" fontId="24" fillId="0" borderId="0" xfId="6" applyNumberFormat="1" applyFont="1" applyAlignment="1">
      <alignment horizontal="center"/>
    </xf>
    <xf numFmtId="170" fontId="0" fillId="0" borderId="2" xfId="6" applyNumberFormat="1" applyFont="1" applyBorder="1" applyAlignment="1">
      <alignment horizontal="left" indent="2"/>
    </xf>
    <xf numFmtId="170" fontId="0" fillId="0" borderId="2" xfId="6" applyNumberFormat="1" applyFont="1" applyBorder="1" applyAlignment="1">
      <alignment horizontal="left"/>
    </xf>
    <xf numFmtId="0" fontId="0" fillId="0" borderId="2" xfId="6" applyFont="1" applyBorder="1" applyAlignment="1">
      <alignment horizontal="left" indent="2"/>
    </xf>
    <xf numFmtId="0" fontId="0" fillId="0" borderId="2" xfId="6" applyFont="1" applyBorder="1" applyAlignment="1">
      <alignment horizontal="left" indent="3"/>
    </xf>
    <xf numFmtId="171" fontId="20" fillId="22" borderId="0" xfId="6" applyNumberFormat="1" applyFont="1" applyFill="1" applyAlignment="1">
      <alignment horizontal="left" indent="1"/>
    </xf>
    <xf numFmtId="171" fontId="0" fillId="22" borderId="0" xfId="6" applyNumberFormat="1" applyFont="1" applyFill="1" applyAlignment="1">
      <alignment horizontal="left"/>
    </xf>
    <xf numFmtId="171" fontId="0" fillId="22" borderId="0" xfId="6" applyNumberFormat="1" applyFont="1" applyFill="1" applyAlignment="1">
      <alignment horizontal="center"/>
    </xf>
    <xf numFmtId="171" fontId="0" fillId="22" borderId="0" xfId="6" applyNumberFormat="1" applyFont="1" applyFill="1" applyAlignment="1">
      <alignment horizontal="left" indent="1"/>
    </xf>
    <xf numFmtId="171" fontId="0" fillId="22" borderId="0" xfId="6" applyNumberFormat="1" applyFont="1" applyFill="1"/>
    <xf numFmtId="171" fontId="0" fillId="0" borderId="0" xfId="6" applyNumberFormat="1" applyFont="1" applyAlignment="1">
      <alignment horizontal="center"/>
    </xf>
    <xf numFmtId="171" fontId="0" fillId="0" borderId="0" xfId="6" applyNumberFormat="1" applyFont="1"/>
    <xf numFmtId="171" fontId="16" fillId="5" borderId="3" xfId="6" applyNumberFormat="1" applyFont="1" applyFill="1" applyBorder="1"/>
    <xf numFmtId="171" fontId="16" fillId="5" borderId="3" xfId="6" applyNumberFormat="1" applyFont="1" applyFill="1" applyBorder="1" applyAlignment="1">
      <alignment horizontal="center"/>
    </xf>
    <xf numFmtId="171" fontId="0" fillId="11" borderId="0" xfId="6" applyNumberFormat="1" applyFont="1" applyFill="1" applyAlignment="1">
      <alignment horizontal="center"/>
    </xf>
    <xf numFmtId="171" fontId="20" fillId="11" borderId="2" xfId="3" applyNumberFormat="1" applyFont="1" applyBorder="1">
      <alignment horizontal="center" vertical="center"/>
    </xf>
    <xf numFmtId="171" fontId="20" fillId="11" borderId="0" xfId="3" applyNumberFormat="1" applyFont="1">
      <alignment horizontal="center" vertical="center"/>
    </xf>
    <xf numFmtId="170" fontId="0" fillId="11" borderId="2" xfId="3" applyFont="1" applyBorder="1">
      <alignment horizontal="center" vertical="center"/>
    </xf>
    <xf numFmtId="0" fontId="24" fillId="0" borderId="2" xfId="6" applyFont="1" applyBorder="1" applyAlignment="1">
      <alignment horizontal="center"/>
    </xf>
    <xf numFmtId="170" fontId="0" fillId="0" borderId="2" xfId="6" applyNumberFormat="1" applyFont="1" applyBorder="1" applyAlignment="1">
      <alignment horizontal="left" indent="1"/>
    </xf>
    <xf numFmtId="174" fontId="0" fillId="0" borderId="2" xfId="1" applyNumberFormat="1" applyFont="1" applyFill="1" applyBorder="1" applyAlignment="1">
      <alignment horizontal="center"/>
    </xf>
    <xf numFmtId="0" fontId="0" fillId="16" borderId="0" xfId="6" applyFont="1" applyFill="1" applyAlignment="1">
      <alignment horizontal="center"/>
    </xf>
    <xf numFmtId="0" fontId="0" fillId="16" borderId="2" xfId="6" applyFont="1" applyFill="1" applyBorder="1" applyAlignment="1">
      <alignment horizontal="center"/>
    </xf>
    <xf numFmtId="171" fontId="20" fillId="11" borderId="2" xfId="6" applyNumberFormat="1" applyFont="1" applyFill="1" applyBorder="1" applyAlignment="1">
      <alignment horizontal="center"/>
    </xf>
    <xf numFmtId="174" fontId="0" fillId="21" borderId="2" xfId="1" applyNumberFormat="1" applyFont="1" applyFill="1" applyBorder="1" applyAlignment="1">
      <alignment horizontal="center"/>
    </xf>
    <xf numFmtId="171" fontId="24" fillId="0" borderId="0" xfId="3" applyNumberFormat="1" applyFont="1" applyFill="1">
      <alignment horizontal="center" vertical="center"/>
    </xf>
    <xf numFmtId="171" fontId="24" fillId="0" borderId="2" xfId="3" applyNumberFormat="1" applyFont="1" applyFill="1" applyBorder="1">
      <alignment horizontal="center" vertical="center"/>
    </xf>
    <xf numFmtId="174" fontId="0" fillId="20" borderId="0" xfId="1" applyNumberFormat="1" applyFont="1" applyFill="1" applyBorder="1" applyAlignment="1">
      <alignment horizontal="center"/>
    </xf>
    <xf numFmtId="170" fontId="0" fillId="20" borderId="0" xfId="6" applyNumberFormat="1" applyFont="1" applyFill="1" applyAlignment="1">
      <alignment horizontal="center"/>
    </xf>
    <xf numFmtId="0" fontId="20" fillId="0" borderId="2" xfId="6" applyFont="1" applyBorder="1" applyAlignment="1">
      <alignment horizontal="center"/>
    </xf>
    <xf numFmtId="170" fontId="24" fillId="0" borderId="2" xfId="6" applyNumberFormat="1" applyFont="1" applyBorder="1" applyAlignment="1">
      <alignment horizontal="center"/>
    </xf>
    <xf numFmtId="0" fontId="14" fillId="0" borderId="0" xfId="6" applyFont="1" applyAlignment="1">
      <alignment horizontal="center"/>
    </xf>
    <xf numFmtId="170" fontId="16" fillId="0" borderId="0" xfId="6" applyNumberFormat="1" applyFont="1" applyAlignment="1">
      <alignment horizontal="center"/>
    </xf>
    <xf numFmtId="171" fontId="16" fillId="0" borderId="0" xfId="6" applyNumberFormat="1" applyFont="1" applyAlignment="1">
      <alignment horizontal="center"/>
    </xf>
    <xf numFmtId="170" fontId="0" fillId="0" borderId="0" xfId="6" applyNumberFormat="1" applyFont="1" applyAlignment="1">
      <alignment horizontal="right"/>
    </xf>
    <xf numFmtId="0" fontId="16" fillId="0" borderId="0" xfId="6" applyFont="1"/>
    <xf numFmtId="171" fontId="16" fillId="0" borderId="0" xfId="6" applyNumberFormat="1" applyFont="1"/>
    <xf numFmtId="170" fontId="16" fillId="0" borderId="0" xfId="6" applyNumberFormat="1" applyFont="1"/>
    <xf numFmtId="9" fontId="0" fillId="0" borderId="0" xfId="6" applyNumberFormat="1" applyFont="1"/>
    <xf numFmtId="171" fontId="21" fillId="5" borderId="3" xfId="6" applyNumberFormat="1" applyFont="1" applyFill="1" applyBorder="1"/>
    <xf numFmtId="170" fontId="21" fillId="5" borderId="3" xfId="6" applyNumberFormat="1" applyFont="1" applyFill="1" applyBorder="1"/>
    <xf numFmtId="0" fontId="20" fillId="0" borderId="0" xfId="0" applyFont="1" applyAlignment="1">
      <alignment horizontal="left" vertical="center" indent="1"/>
    </xf>
    <xf numFmtId="170" fontId="20" fillId="10" borderId="0" xfId="0" applyNumberFormat="1" applyFont="1" applyFill="1" applyAlignment="1">
      <alignment horizontal="left" vertical="center" wrapText="1"/>
    </xf>
    <xf numFmtId="0" fontId="0" fillId="0" borderId="0" xfId="0" applyAlignment="1">
      <alignment horizontal="left" wrapText="1"/>
    </xf>
    <xf numFmtId="174" fontId="0" fillId="0" borderId="0" xfId="0" applyNumberFormat="1" applyAlignment="1">
      <alignment horizontal="left"/>
    </xf>
    <xf numFmtId="0" fontId="21" fillId="0" borderId="0" xfId="6" applyFont="1"/>
    <xf numFmtId="171" fontId="21" fillId="0" borderId="0" xfId="6" applyNumberFormat="1" applyFont="1"/>
    <xf numFmtId="170" fontId="21" fillId="0" borderId="0" xfId="6" applyNumberFormat="1" applyFont="1"/>
    <xf numFmtId="170" fontId="22" fillId="0" borderId="0" xfId="6" applyNumberFormat="1" applyFont="1" applyAlignment="1">
      <alignment horizontal="left" vertical="center"/>
    </xf>
    <xf numFmtId="0" fontId="0" fillId="5" borderId="0" xfId="0" applyFill="1" applyAlignment="1">
      <alignment vertical="center"/>
    </xf>
    <xf numFmtId="0" fontId="0" fillId="3" borderId="0" xfId="0" applyFill="1" applyAlignment="1">
      <alignment vertical="center"/>
    </xf>
    <xf numFmtId="0" fontId="0" fillId="19" borderId="0" xfId="0" applyFill="1" applyAlignment="1">
      <alignment vertical="center"/>
    </xf>
    <xf numFmtId="0" fontId="0" fillId="18" borderId="0" xfId="0" applyFill="1" applyAlignment="1">
      <alignment vertical="center"/>
    </xf>
    <xf numFmtId="170" fontId="24" fillId="13" borderId="0" xfId="4" applyNumberFormat="1" applyFont="1" applyFill="1">
      <alignment horizontal="center" vertical="center"/>
    </xf>
    <xf numFmtId="170" fontId="16" fillId="18" borderId="0" xfId="4" applyNumberFormat="1" applyFont="1" applyFill="1">
      <alignment horizontal="center" vertical="center"/>
    </xf>
    <xf numFmtId="174" fontId="0" fillId="0" borderId="0" xfId="0" applyNumberFormat="1" applyAlignment="1">
      <alignment horizontal="left" vertical="center" indent="1"/>
    </xf>
    <xf numFmtId="174" fontId="20" fillId="11" borderId="0" xfId="3" applyNumberFormat="1" applyFont="1">
      <alignment horizontal="center" vertical="center"/>
    </xf>
    <xf numFmtId="185" fontId="20" fillId="12" borderId="0" xfId="0" applyNumberFormat="1" applyFont="1" applyFill="1">
      <alignment horizontal="center" vertical="center"/>
    </xf>
    <xf numFmtId="174" fontId="16" fillId="18" borderId="0" xfId="4" applyNumberFormat="1" applyFont="1" applyFill="1">
      <alignment horizontal="center" vertical="center"/>
    </xf>
    <xf numFmtId="0" fontId="22" fillId="0" borderId="0" xfId="6" applyFont="1" applyAlignment="1">
      <alignment horizontal="center" vertical="center"/>
    </xf>
    <xf numFmtId="174" fontId="20" fillId="12" borderId="0" xfId="0" applyNumberFormat="1" applyFont="1" applyFill="1">
      <alignment horizontal="center" vertical="center"/>
    </xf>
    <xf numFmtId="189" fontId="0" fillId="11" borderId="0" xfId="0" applyNumberFormat="1" applyFill="1">
      <alignment horizontal="center" vertical="center"/>
    </xf>
    <xf numFmtId="190" fontId="0" fillId="11" borderId="0" xfId="0" applyNumberFormat="1" applyFill="1">
      <alignment horizontal="center" vertical="center"/>
    </xf>
    <xf numFmtId="191" fontId="0" fillId="11" borderId="0" xfId="0" applyNumberFormat="1" applyFill="1">
      <alignment horizontal="center" vertical="center"/>
    </xf>
    <xf numFmtId="170" fontId="20" fillId="10" borderId="3" xfId="0" applyNumberFormat="1" applyFont="1" applyFill="1" applyBorder="1">
      <alignment horizontal="center" vertical="center"/>
    </xf>
    <xf numFmtId="172" fontId="20" fillId="0" borderId="0" xfId="0" applyNumberFormat="1" applyFont="1">
      <alignment horizontal="center" vertical="center"/>
    </xf>
    <xf numFmtId="0" fontId="20" fillId="10" borderId="7" xfId="0" applyFont="1" applyFill="1" applyBorder="1">
      <alignment horizontal="center" vertical="center"/>
    </xf>
    <xf numFmtId="170" fontId="20" fillId="10" borderId="12" xfId="0" applyNumberFormat="1" applyFont="1" applyFill="1" applyBorder="1">
      <alignment horizontal="center" vertical="center"/>
    </xf>
    <xf numFmtId="174" fontId="20" fillId="0" borderId="0" xfId="0" applyNumberFormat="1" applyFont="1">
      <alignment horizontal="center" vertical="center"/>
    </xf>
    <xf numFmtId="174" fontId="20" fillId="12" borderId="0" xfId="4" applyNumberFormat="1" applyFont="1">
      <alignment horizontal="center" vertical="center"/>
    </xf>
    <xf numFmtId="174" fontId="0" fillId="5" borderId="0" xfId="6" applyNumberFormat="1" applyFont="1" applyFill="1" applyAlignment="1">
      <alignment horizontal="center" vertical="center"/>
    </xf>
    <xf numFmtId="174" fontId="20" fillId="0" borderId="0" xfId="4" applyNumberFormat="1" applyFont="1" applyFill="1">
      <alignment horizontal="center" vertical="center"/>
    </xf>
    <xf numFmtId="174" fontId="20" fillId="0" borderId="2" xfId="4" applyNumberFormat="1" applyFont="1" applyFill="1" applyBorder="1">
      <alignment horizontal="center" vertical="center"/>
    </xf>
    <xf numFmtId="174" fontId="20" fillId="0" borderId="2" xfId="0" applyNumberFormat="1" applyFont="1" applyBorder="1">
      <alignment horizontal="center" vertical="center"/>
    </xf>
    <xf numFmtId="170" fontId="21" fillId="19" borderId="0" xfId="0" applyNumberFormat="1" applyFont="1" applyFill="1" applyAlignment="1">
      <alignment vertical="center"/>
    </xf>
    <xf numFmtId="170" fontId="29" fillId="0" borderId="2" xfId="0" applyNumberFormat="1" applyFont="1" applyBorder="1" applyAlignment="1">
      <alignment vertical="center"/>
    </xf>
    <xf numFmtId="174" fontId="20" fillId="2" borderId="0" xfId="1" applyNumberFormat="1" applyFont="1" applyFill="1" applyBorder="1" applyAlignment="1">
      <alignment horizontal="center" vertical="center"/>
    </xf>
    <xf numFmtId="174" fontId="20" fillId="0" borderId="0" xfId="1" applyNumberFormat="1" applyFont="1" applyFill="1" applyBorder="1" applyAlignment="1">
      <alignment horizontal="center" vertical="center"/>
    </xf>
    <xf numFmtId="174" fontId="0" fillId="3" borderId="0" xfId="6" applyNumberFormat="1" applyFont="1" applyFill="1" applyAlignment="1">
      <alignment horizontal="center" vertical="center"/>
    </xf>
    <xf numFmtId="174" fontId="20" fillId="10" borderId="2" xfId="0" applyNumberFormat="1" applyFont="1" applyFill="1" applyBorder="1">
      <alignment horizontal="center" vertical="center"/>
    </xf>
    <xf numFmtId="174" fontId="20" fillId="11" borderId="0" xfId="0" applyNumberFormat="1" applyFont="1" applyFill="1">
      <alignment horizontal="center" vertical="center"/>
    </xf>
    <xf numFmtId="194" fontId="0" fillId="11" borderId="0" xfId="0" applyNumberFormat="1" applyFill="1" applyAlignment="1">
      <alignment vertical="center"/>
    </xf>
    <xf numFmtId="195" fontId="0" fillId="11" borderId="0" xfId="0" applyNumberFormat="1" applyFill="1" applyAlignment="1">
      <alignment vertical="center"/>
    </xf>
    <xf numFmtId="0" fontId="22" fillId="0" borderId="0" xfId="6" applyFont="1" applyAlignment="1">
      <alignment vertical="center"/>
    </xf>
    <xf numFmtId="171" fontId="14" fillId="0" borderId="0" xfId="6" applyNumberFormat="1" applyFont="1"/>
    <xf numFmtId="0" fontId="14" fillId="2" borderId="0" xfId="0" applyFont="1" applyFill="1" applyAlignment="1">
      <alignment vertical="center"/>
    </xf>
    <xf numFmtId="177" fontId="14" fillId="10" borderId="2" xfId="6" applyNumberFormat="1" applyFont="1" applyFill="1" applyBorder="1" applyAlignment="1">
      <alignment horizontal="center" vertical="center" wrapText="1"/>
    </xf>
    <xf numFmtId="177" fontId="14" fillId="10" borderId="2" xfId="6" applyNumberFormat="1" applyFont="1" applyFill="1" applyBorder="1" applyAlignment="1">
      <alignment horizontal="center" vertical="center"/>
    </xf>
    <xf numFmtId="177" fontId="14" fillId="10" borderId="2" xfId="6" applyNumberFormat="1" applyFont="1" applyFill="1" applyBorder="1" applyAlignment="1">
      <alignment vertical="center"/>
    </xf>
    <xf numFmtId="183" fontId="14" fillId="10" borderId="19" xfId="0" applyNumberFormat="1" applyFont="1" applyFill="1" applyBorder="1">
      <alignment horizontal="center" vertical="center"/>
    </xf>
    <xf numFmtId="0" fontId="15" fillId="0" borderId="0" xfId="6" applyFont="1" applyAlignment="1">
      <alignment vertical="center"/>
    </xf>
    <xf numFmtId="174" fontId="14" fillId="0" borderId="0" xfId="0" applyNumberFormat="1" applyFont="1" applyAlignment="1">
      <alignment vertical="center"/>
    </xf>
    <xf numFmtId="170" fontId="22" fillId="0" borderId="0" xfId="6" applyNumberFormat="1" applyFont="1" applyAlignment="1">
      <alignment horizontal="center"/>
    </xf>
    <xf numFmtId="170" fontId="0" fillId="0" borderId="0" xfId="6" applyNumberFormat="1" applyFont="1" applyAlignment="1">
      <alignment horizontal="center" vertical="center"/>
    </xf>
    <xf numFmtId="170" fontId="0" fillId="0" borderId="0" xfId="6" applyNumberFormat="1" applyFont="1" applyAlignment="1">
      <alignment horizontal="center" vertical="center" wrapText="1"/>
    </xf>
    <xf numFmtId="174" fontId="0" fillId="11" borderId="0" xfId="1" applyNumberFormat="1" applyFont="1" applyFill="1" applyBorder="1" applyAlignment="1">
      <alignment horizontal="center" vertical="center"/>
    </xf>
    <xf numFmtId="174" fontId="0" fillId="11" borderId="2" xfId="1" applyNumberFormat="1" applyFont="1" applyFill="1" applyBorder="1" applyAlignment="1">
      <alignment horizontal="center" vertical="center"/>
    </xf>
    <xf numFmtId="174" fontId="0" fillId="11" borderId="0" xfId="1" applyNumberFormat="1" applyFont="1" applyFill="1" applyAlignment="1">
      <alignment horizontal="center" vertical="center"/>
    </xf>
    <xf numFmtId="171" fontId="0" fillId="0" borderId="2" xfId="0" applyNumberFormat="1" applyBorder="1">
      <alignment horizontal="center" vertical="center"/>
    </xf>
    <xf numFmtId="174" fontId="20" fillId="20" borderId="0" xfId="1" applyNumberFormat="1" applyFont="1" applyFill="1" applyBorder="1" applyAlignment="1">
      <alignment horizontal="center"/>
    </xf>
    <xf numFmtId="170" fontId="20" fillId="20" borderId="0" xfId="6" applyNumberFormat="1" applyFont="1" applyFill="1" applyAlignment="1">
      <alignment horizontal="center"/>
    </xf>
    <xf numFmtId="174" fontId="20" fillId="20" borderId="2" xfId="1" applyNumberFormat="1" applyFont="1" applyFill="1" applyBorder="1" applyAlignment="1">
      <alignment horizontal="center"/>
    </xf>
    <xf numFmtId="170" fontId="20" fillId="20" borderId="2" xfId="6" applyNumberFormat="1" applyFont="1" applyFill="1" applyBorder="1" applyAlignment="1">
      <alignment horizontal="center"/>
    </xf>
    <xf numFmtId="174" fontId="20" fillId="20" borderId="0" xfId="1" applyNumberFormat="1" applyFont="1" applyFill="1" applyBorder="1" applyAlignment="1">
      <alignment horizontal="center" vertical="center"/>
    </xf>
    <xf numFmtId="174" fontId="16" fillId="5" borderId="3" xfId="1" applyNumberFormat="1" applyFont="1" applyFill="1" applyBorder="1" applyAlignment="1">
      <alignment horizontal="center"/>
    </xf>
    <xf numFmtId="171" fontId="14" fillId="0" borderId="0" xfId="6" applyNumberFormat="1" applyFont="1" applyAlignment="1">
      <alignment horizontal="center"/>
    </xf>
    <xf numFmtId="174" fontId="0" fillId="0" borderId="2" xfId="6" applyNumberFormat="1" applyFont="1" applyBorder="1" applyAlignment="1">
      <alignment horizontal="center"/>
    </xf>
    <xf numFmtId="174" fontId="20" fillId="0" borderId="0" xfId="6" applyNumberFormat="1" applyFont="1" applyAlignment="1">
      <alignment horizontal="center"/>
    </xf>
    <xf numFmtId="174" fontId="20" fillId="0" borderId="2" xfId="6" applyNumberFormat="1" applyFont="1" applyBorder="1" applyAlignment="1">
      <alignment horizontal="center"/>
    </xf>
    <xf numFmtId="174" fontId="20" fillId="0" borderId="2" xfId="9" applyNumberFormat="1" applyFont="1" applyFill="1" applyBorder="1" applyAlignment="1">
      <alignment horizontal="center"/>
    </xf>
    <xf numFmtId="174" fontId="20" fillId="0" borderId="0" xfId="1" applyNumberFormat="1" applyFont="1" applyAlignment="1">
      <alignment horizontal="center"/>
    </xf>
    <xf numFmtId="0" fontId="14" fillId="0" borderId="0" xfId="0" applyFont="1" applyAlignment="1">
      <alignment vertical="center"/>
    </xf>
    <xf numFmtId="174" fontId="20" fillId="0" borderId="0" xfId="6" applyNumberFormat="1" applyFont="1"/>
    <xf numFmtId="174" fontId="20" fillId="0" borderId="2" xfId="6" applyNumberFormat="1" applyFont="1" applyBorder="1"/>
    <xf numFmtId="174" fontId="20" fillId="0" borderId="0" xfId="3" applyNumberFormat="1" applyFont="1" applyFill="1" applyAlignment="1">
      <alignment vertical="center"/>
    </xf>
    <xf numFmtId="174" fontId="20" fillId="0" borderId="2" xfId="3" applyNumberFormat="1" applyFont="1" applyFill="1" applyBorder="1" applyAlignment="1">
      <alignment vertical="center"/>
    </xf>
    <xf numFmtId="174" fontId="20" fillId="0" borderId="0" xfId="1" applyNumberFormat="1" applyFont="1" applyFill="1" applyBorder="1" applyAlignment="1"/>
    <xf numFmtId="174" fontId="20" fillId="0" borderId="2" xfId="1" applyNumberFormat="1" applyFont="1" applyFill="1" applyBorder="1" applyAlignment="1"/>
    <xf numFmtId="174" fontId="20" fillId="0" borderId="2" xfId="9" applyNumberFormat="1" applyFont="1" applyFill="1" applyBorder="1" applyAlignment="1"/>
    <xf numFmtId="174" fontId="20" fillId="0" borderId="0" xfId="1" applyNumberFormat="1" applyFont="1" applyFill="1" applyAlignment="1"/>
    <xf numFmtId="170" fontId="20" fillId="0" borderId="0" xfId="6" applyNumberFormat="1" applyFont="1"/>
    <xf numFmtId="171" fontId="20" fillId="0" borderId="0" xfId="6" applyNumberFormat="1" applyFont="1" applyAlignment="1">
      <alignment horizontal="center"/>
    </xf>
    <xf numFmtId="0" fontId="14" fillId="0" borderId="0" xfId="6" applyFont="1" applyAlignment="1">
      <alignment vertical="top"/>
    </xf>
    <xf numFmtId="0" fontId="14" fillId="0" borderId="0" xfId="6" applyFont="1" applyAlignment="1">
      <alignment horizontal="center" vertical="top"/>
    </xf>
    <xf numFmtId="0" fontId="14" fillId="0" borderId="2" xfId="6" applyFont="1" applyBorder="1" applyAlignment="1">
      <alignment vertical="top"/>
    </xf>
    <xf numFmtId="0" fontId="14" fillId="0" borderId="2" xfId="6" applyFont="1" applyBorder="1" applyAlignment="1">
      <alignment horizontal="right" vertical="top"/>
    </xf>
    <xf numFmtId="184" fontId="14" fillId="10" borderId="2" xfId="6" applyNumberFormat="1" applyFont="1" applyFill="1" applyBorder="1" applyAlignment="1">
      <alignment vertical="top" wrapText="1"/>
    </xf>
    <xf numFmtId="184" fontId="20" fillId="10" borderId="2" xfId="6" applyNumberFormat="1" applyFont="1" applyFill="1" applyBorder="1" applyAlignment="1">
      <alignment horizontal="center" vertical="top" wrapText="1"/>
    </xf>
    <xf numFmtId="171" fontId="0" fillId="0" borderId="0" xfId="6" applyNumberFormat="1" applyFont="1" applyAlignment="1">
      <alignment horizontal="center" vertical="center" wrapText="1"/>
    </xf>
    <xf numFmtId="171" fontId="22" fillId="0" borderId="0" xfId="6" applyNumberFormat="1" applyFont="1" applyAlignment="1">
      <alignment horizontal="center"/>
    </xf>
    <xf numFmtId="171" fontId="29" fillId="0" borderId="0" xfId="6" applyNumberFormat="1" applyFont="1" applyAlignment="1">
      <alignment horizontal="center"/>
    </xf>
    <xf numFmtId="171" fontId="0" fillId="20" borderId="0" xfId="6" applyNumberFormat="1" applyFont="1" applyFill="1" applyAlignment="1">
      <alignment horizontal="center"/>
    </xf>
    <xf numFmtId="171" fontId="16" fillId="18" borderId="3" xfId="6" applyNumberFormat="1" applyFont="1" applyFill="1" applyBorder="1" applyAlignment="1">
      <alignment horizontal="center"/>
    </xf>
    <xf numFmtId="170" fontId="21" fillId="2" borderId="0" xfId="6" applyNumberFormat="1" applyFont="1" applyFill="1" applyAlignment="1">
      <alignment horizontal="centerContinuous" vertical="center" wrapText="1"/>
    </xf>
    <xf numFmtId="170" fontId="21" fillId="2" borderId="0" xfId="6" applyNumberFormat="1" applyFont="1" applyFill="1" applyAlignment="1">
      <alignment horizontal="center" vertical="center" wrapText="1"/>
    </xf>
    <xf numFmtId="0" fontId="0" fillId="0" borderId="0" xfId="6" applyFont="1" applyAlignment="1">
      <alignment horizontal="center" vertical="center"/>
    </xf>
    <xf numFmtId="174" fontId="0" fillId="0" borderId="0" xfId="6" applyNumberFormat="1" applyFont="1" applyAlignment="1">
      <alignment horizontal="center" vertical="center"/>
    </xf>
    <xf numFmtId="170" fontId="16" fillId="18" borderId="3" xfId="6" applyNumberFormat="1" applyFont="1" applyFill="1" applyBorder="1" applyAlignment="1">
      <alignment horizontal="center" vertical="center"/>
    </xf>
    <xf numFmtId="170" fontId="0" fillId="0" borderId="0" xfId="6" applyNumberFormat="1" applyFont="1" applyAlignment="1">
      <alignment horizontal="right" vertical="center"/>
    </xf>
    <xf numFmtId="170" fontId="14" fillId="12" borderId="0" xfId="6" applyNumberFormat="1" applyFont="1" applyFill="1" applyAlignment="1">
      <alignment horizontal="center" vertical="center"/>
    </xf>
    <xf numFmtId="171" fontId="14" fillId="12" borderId="0" xfId="6" applyNumberFormat="1" applyFont="1" applyFill="1" applyAlignment="1">
      <alignment horizontal="center" vertical="center"/>
    </xf>
    <xf numFmtId="196" fontId="20" fillId="11" borderId="0" xfId="0" applyNumberFormat="1" applyFont="1" applyFill="1">
      <alignment horizontal="center" vertical="center"/>
    </xf>
    <xf numFmtId="196" fontId="20" fillId="12" borderId="0" xfId="0" applyNumberFormat="1" applyFont="1" applyFill="1">
      <alignment horizontal="center" vertical="center"/>
    </xf>
    <xf numFmtId="0" fontId="0" fillId="20" borderId="0" xfId="0" applyFill="1" applyAlignment="1">
      <alignment horizontal="left" vertical="center"/>
    </xf>
    <xf numFmtId="170" fontId="19" fillId="10" borderId="0" xfId="0" applyNumberFormat="1" applyFont="1" applyFill="1" applyAlignment="1">
      <alignment horizontal="left" vertical="center"/>
    </xf>
    <xf numFmtId="2" fontId="0" fillId="0" borderId="0" xfId="0" applyNumberFormat="1" applyAlignment="1">
      <alignment horizontal="left" vertical="center"/>
    </xf>
    <xf numFmtId="2" fontId="0" fillId="0" borderId="0" xfId="0" applyNumberFormat="1" applyAlignment="1">
      <alignment horizontal="left" wrapText="1"/>
    </xf>
    <xf numFmtId="11" fontId="0" fillId="0" borderId="0" xfId="0" applyNumberFormat="1" applyAlignment="1">
      <alignment horizontal="left"/>
    </xf>
    <xf numFmtId="2" fontId="24" fillId="13" borderId="0" xfId="0" applyNumberFormat="1" applyFont="1" applyFill="1">
      <alignment horizontal="center" vertical="center"/>
    </xf>
    <xf numFmtId="170" fontId="24" fillId="13" borderId="0" xfId="0" applyNumberFormat="1" applyFont="1" applyFill="1">
      <alignment horizontal="center" vertical="center"/>
    </xf>
    <xf numFmtId="0" fontId="20" fillId="0" borderId="0" xfId="6" applyFont="1" applyAlignment="1">
      <alignment vertical="center"/>
    </xf>
    <xf numFmtId="0" fontId="20" fillId="0" borderId="2" xfId="6" applyFont="1" applyBorder="1" applyAlignment="1">
      <alignment vertical="center"/>
    </xf>
    <xf numFmtId="174" fontId="29" fillId="0" borderId="0" xfId="0" applyNumberFormat="1" applyFont="1">
      <alignment horizontal="center" vertical="center"/>
    </xf>
    <xf numFmtId="174" fontId="0" fillId="12" borderId="0" xfId="0" applyNumberFormat="1" applyFill="1">
      <alignment horizontal="center" vertical="center"/>
    </xf>
    <xf numFmtId="0" fontId="15" fillId="0" borderId="0" xfId="0" applyFont="1" applyAlignment="1">
      <alignment vertical="center"/>
    </xf>
    <xf numFmtId="170" fontId="0" fillId="12" borderId="0" xfId="0" applyNumberFormat="1" applyFill="1">
      <alignment horizontal="center" vertical="center"/>
    </xf>
    <xf numFmtId="174" fontId="0" fillId="18" borderId="0" xfId="0" applyNumberFormat="1" applyFill="1">
      <alignment horizontal="center" vertical="center"/>
    </xf>
    <xf numFmtId="170" fontId="0" fillId="12" borderId="0" xfId="6" applyNumberFormat="1" applyFont="1" applyFill="1"/>
    <xf numFmtId="170" fontId="0" fillId="20" borderId="0" xfId="6" applyNumberFormat="1" applyFont="1" applyFill="1"/>
    <xf numFmtId="170" fontId="20" fillId="10" borderId="8" xfId="0" applyNumberFormat="1" applyFont="1" applyFill="1" applyBorder="1" applyAlignment="1">
      <alignment horizontal="center" vertical="center" wrapText="1"/>
    </xf>
    <xf numFmtId="170" fontId="20" fillId="10" borderId="10" xfId="0" applyNumberFormat="1" applyFont="1" applyFill="1" applyBorder="1" applyAlignment="1">
      <alignment horizontal="center" vertical="center" wrapText="1"/>
    </xf>
    <xf numFmtId="172" fontId="0" fillId="0" borderId="0" xfId="0" applyNumberFormat="1" applyAlignment="1">
      <alignment horizontal="left" vertical="center" indent="1"/>
    </xf>
    <xf numFmtId="172" fontId="0" fillId="0" borderId="0" xfId="0" applyNumberFormat="1" applyAlignment="1">
      <alignment horizontal="left" wrapText="1" indent="1"/>
    </xf>
    <xf numFmtId="172" fontId="0" fillId="0" borderId="0" xfId="0" applyNumberFormat="1" applyAlignment="1">
      <alignment horizontal="left"/>
    </xf>
    <xf numFmtId="172" fontId="22" fillId="0" borderId="0" xfId="0" applyNumberFormat="1" applyFont="1" applyAlignment="1">
      <alignment horizontal="left"/>
    </xf>
    <xf numFmtId="172" fontId="0" fillId="11" borderId="0" xfId="3" applyNumberFormat="1" applyFont="1">
      <alignment horizontal="center" vertical="center"/>
    </xf>
    <xf numFmtId="174" fontId="0" fillId="0" borderId="0" xfId="0" applyNumberFormat="1" applyAlignment="1">
      <alignment vertical="center"/>
    </xf>
    <xf numFmtId="0" fontId="0" fillId="20" borderId="0" xfId="0" applyFill="1" applyAlignment="1">
      <alignment horizontal="left" vertical="center" indent="1"/>
    </xf>
    <xf numFmtId="0" fontId="0" fillId="20" borderId="0" xfId="0" applyFill="1" applyAlignment="1">
      <alignment wrapText="1"/>
    </xf>
    <xf numFmtId="0" fontId="0" fillId="20" borderId="0" xfId="0" applyFill="1" applyAlignment="1">
      <alignment horizontal="left" wrapText="1"/>
    </xf>
    <xf numFmtId="172" fontId="0" fillId="20" borderId="0" xfId="4" applyNumberFormat="1" applyFont="1" applyFill="1">
      <alignment horizontal="center" vertical="center"/>
    </xf>
    <xf numFmtId="170" fontId="0" fillId="20" borderId="0" xfId="0" applyNumberFormat="1" applyFill="1" applyAlignment="1">
      <alignment horizontal="left" vertical="center"/>
    </xf>
    <xf numFmtId="170" fontId="0" fillId="20" borderId="0" xfId="0" applyNumberFormat="1" applyFill="1">
      <alignment horizontal="center" vertical="center"/>
    </xf>
    <xf numFmtId="0" fontId="0" fillId="20" borderId="0" xfId="0" applyFill="1" applyAlignment="1">
      <alignment horizontal="right" wrapText="1"/>
    </xf>
    <xf numFmtId="172" fontId="0" fillId="20" borderId="0" xfId="0" applyNumberFormat="1" applyFill="1" applyAlignment="1">
      <alignment horizontal="left" vertical="center" indent="1"/>
    </xf>
    <xf numFmtId="172" fontId="0" fillId="20" borderId="0" xfId="0" applyNumberFormat="1" applyFill="1" applyAlignment="1">
      <alignment horizontal="left" wrapText="1" indent="1"/>
    </xf>
    <xf numFmtId="172" fontId="0" fillId="20" borderId="0" xfId="0" applyNumberFormat="1" applyFill="1" applyAlignment="1">
      <alignment horizontal="left"/>
    </xf>
    <xf numFmtId="172" fontId="22" fillId="20" borderId="0" xfId="0" applyNumberFormat="1" applyFont="1" applyFill="1" applyAlignment="1">
      <alignment horizontal="left"/>
    </xf>
    <xf numFmtId="172" fontId="0" fillId="20" borderId="0" xfId="0" applyNumberFormat="1" applyFill="1">
      <alignment horizontal="center" vertical="center"/>
    </xf>
    <xf numFmtId="9" fontId="0" fillId="0" borderId="0" xfId="0" applyNumberFormat="1" applyAlignment="1">
      <alignment horizontal="left" vertical="center"/>
    </xf>
    <xf numFmtId="174" fontId="20" fillId="11" borderId="0" xfId="1" applyNumberFormat="1" applyFont="1" applyFill="1" applyBorder="1" applyAlignment="1">
      <alignment horizontal="center" vertical="center"/>
    </xf>
    <xf numFmtId="174" fontId="20" fillId="11" borderId="2" xfId="1" applyNumberFormat="1" applyFont="1" applyFill="1" applyBorder="1" applyAlignment="1">
      <alignment horizontal="center" vertical="center"/>
    </xf>
    <xf numFmtId="166" fontId="20" fillId="15" borderId="0" xfId="6" applyNumberFormat="1" applyFont="1" applyFill="1" applyAlignment="1">
      <alignment horizontal="center"/>
    </xf>
    <xf numFmtId="174" fontId="0" fillId="11" borderId="2" xfId="6" applyNumberFormat="1" applyFont="1" applyFill="1" applyBorder="1" applyAlignment="1">
      <alignment horizontal="center"/>
    </xf>
    <xf numFmtId="170" fontId="28" fillId="11" borderId="2" xfId="6" applyNumberFormat="1" applyFont="1" applyFill="1" applyBorder="1" applyAlignment="1">
      <alignment horizontal="center"/>
    </xf>
    <xf numFmtId="0" fontId="0" fillId="20" borderId="0" xfId="0" applyFill="1" applyAlignment="1">
      <alignment vertical="center"/>
    </xf>
    <xf numFmtId="0" fontId="0" fillId="20" borderId="0" xfId="0" applyFill="1">
      <alignment horizontal="center" vertical="center"/>
    </xf>
    <xf numFmtId="174" fontId="0" fillId="20" borderId="0" xfId="0" applyNumberFormat="1" applyFill="1">
      <alignment horizontal="center" vertical="center"/>
    </xf>
    <xf numFmtId="170" fontId="0" fillId="20" borderId="0" xfId="0" applyNumberFormat="1" applyFill="1" applyAlignment="1">
      <alignment vertical="center"/>
    </xf>
    <xf numFmtId="9" fontId="0" fillId="20" borderId="0" xfId="0" applyNumberFormat="1" applyFill="1">
      <alignment horizontal="center" vertical="center"/>
    </xf>
    <xf numFmtId="175" fontId="20" fillId="14" borderId="0" xfId="0" applyNumberFormat="1" applyFont="1" applyFill="1" applyAlignment="1">
      <alignment vertical="center"/>
    </xf>
    <xf numFmtId="171" fontId="0" fillId="11" borderId="0" xfId="3" applyNumberFormat="1" applyFont="1">
      <alignment horizontal="center" vertical="center"/>
    </xf>
    <xf numFmtId="184" fontId="14" fillId="11" borderId="2" xfId="6" applyNumberFormat="1" applyFont="1" applyFill="1" applyBorder="1" applyAlignment="1">
      <alignment vertical="top" wrapText="1"/>
    </xf>
    <xf numFmtId="0" fontId="0" fillId="0" borderId="20" xfId="6" applyFont="1" applyBorder="1"/>
    <xf numFmtId="170" fontId="0" fillId="0" borderId="20" xfId="6" applyNumberFormat="1" applyFont="1" applyBorder="1" applyAlignment="1">
      <alignment horizontal="right"/>
    </xf>
    <xf numFmtId="171" fontId="0" fillId="0" borderId="20" xfId="6" applyNumberFormat="1" applyFont="1" applyBorder="1"/>
    <xf numFmtId="170" fontId="0" fillId="0" borderId="20" xfId="6" applyNumberFormat="1" applyFont="1" applyBorder="1"/>
    <xf numFmtId="172" fontId="20" fillId="11" borderId="0" xfId="3" applyNumberFormat="1" applyFont="1">
      <alignment horizontal="center" vertical="center"/>
    </xf>
    <xf numFmtId="0" fontId="0" fillId="12" borderId="5" xfId="0" applyFill="1" applyBorder="1" applyAlignment="1">
      <alignment horizontal="center" vertical="center" wrapText="1"/>
    </xf>
    <xf numFmtId="0" fontId="0" fillId="12" borderId="4" xfId="0" applyFill="1" applyBorder="1" applyAlignment="1">
      <alignment horizontal="center" vertical="center" wrapText="1"/>
    </xf>
    <xf numFmtId="170" fontId="20" fillId="10" borderId="5" xfId="0" applyNumberFormat="1" applyFont="1" applyFill="1" applyBorder="1" applyAlignment="1">
      <alignment horizontal="center" vertical="center" wrapText="1"/>
    </xf>
    <xf numFmtId="0" fontId="0" fillId="0" borderId="5" xfId="0" applyBorder="1" applyAlignment="1">
      <alignment horizontal="center"/>
    </xf>
    <xf numFmtId="0" fontId="0" fillId="0" borderId="4" xfId="0" applyBorder="1" applyAlignment="1">
      <alignment horizontal="center"/>
    </xf>
    <xf numFmtId="170" fontId="0" fillId="12" borderId="5" xfId="3" applyFont="1" applyFill="1" applyBorder="1">
      <alignment horizontal="center" vertical="center"/>
    </xf>
    <xf numFmtId="170" fontId="0" fillId="12" borderId="4" xfId="3" applyFont="1" applyFill="1" applyBorder="1">
      <alignment horizontal="center" vertical="center"/>
    </xf>
    <xf numFmtId="170" fontId="0" fillId="0" borderId="5" xfId="0" applyNumberFormat="1" applyBorder="1">
      <alignment horizontal="center" vertical="center"/>
    </xf>
    <xf numFmtId="170" fontId="0" fillId="0" borderId="4" xfId="0" applyNumberFormat="1" applyBorder="1">
      <alignment horizontal="center" vertical="center"/>
    </xf>
    <xf numFmtId="2" fontId="0" fillId="12" borderId="5" xfId="4" applyNumberFormat="1" applyFont="1" applyBorder="1">
      <alignment horizontal="center" vertical="center"/>
    </xf>
    <xf numFmtId="2" fontId="0" fillId="12" borderId="4" xfId="4" applyNumberFormat="1" applyFont="1" applyBorder="1">
      <alignment horizontal="center" vertical="center"/>
    </xf>
    <xf numFmtId="0" fontId="33" fillId="0" borderId="0" xfId="0" applyFont="1" applyAlignment="1">
      <alignment vertical="center"/>
    </xf>
    <xf numFmtId="0" fontId="34" fillId="0" borderId="0" xfId="0" applyFont="1" applyAlignment="1">
      <alignment vertical="center"/>
    </xf>
    <xf numFmtId="0" fontId="34" fillId="0" borderId="0" xfId="0" applyFont="1">
      <alignment horizontal="center" vertical="center"/>
    </xf>
    <xf numFmtId="0" fontId="35" fillId="0" borderId="0" xfId="0" applyFont="1">
      <alignment horizontal="center" vertical="center"/>
    </xf>
    <xf numFmtId="0" fontId="40" fillId="0" borderId="0" xfId="0" applyFont="1">
      <alignment horizontal="center" vertical="center"/>
    </xf>
    <xf numFmtId="0" fontId="40" fillId="11" borderId="0" xfId="0" applyFont="1" applyFill="1" applyAlignment="1">
      <alignment vertical="center"/>
    </xf>
    <xf numFmtId="0" fontId="34" fillId="11" borderId="0" xfId="0" applyFont="1" applyFill="1" applyAlignment="1">
      <alignment vertical="center"/>
    </xf>
    <xf numFmtId="0" fontId="40" fillId="11" borderId="0" xfId="0" applyFont="1" applyFill="1">
      <alignment horizontal="center" vertical="center"/>
    </xf>
    <xf numFmtId="0" fontId="34" fillId="11" borderId="0" xfId="0" applyFont="1" applyFill="1">
      <alignment horizontal="center" vertical="center"/>
    </xf>
    <xf numFmtId="170" fontId="44" fillId="0" borderId="0" xfId="0" applyNumberFormat="1" applyFont="1" applyAlignment="1">
      <alignment vertical="center"/>
    </xf>
    <xf numFmtId="170" fontId="45" fillId="10" borderId="0" xfId="0" applyNumberFormat="1" applyFont="1" applyFill="1" applyAlignment="1">
      <alignment vertical="center"/>
    </xf>
    <xf numFmtId="0" fontId="34" fillId="10" borderId="0" xfId="0" applyFont="1" applyFill="1">
      <alignment horizontal="center" vertical="center"/>
    </xf>
    <xf numFmtId="0" fontId="37" fillId="0" borderId="0" xfId="0" applyFont="1">
      <alignment horizontal="center" vertical="center"/>
    </xf>
    <xf numFmtId="170" fontId="45" fillId="0" borderId="0" xfId="0" applyNumberFormat="1" applyFont="1" applyAlignment="1">
      <alignment vertical="center"/>
    </xf>
    <xf numFmtId="0" fontId="46" fillId="0" borderId="0" xfId="0" applyFont="1" applyAlignment="1">
      <alignment vertical="center"/>
    </xf>
    <xf numFmtId="0" fontId="47" fillId="0" borderId="17" xfId="0" applyFont="1" applyBorder="1" applyAlignment="1">
      <alignment horizontal="left" vertical="center"/>
    </xf>
    <xf numFmtId="170" fontId="44" fillId="0" borderId="0" xfId="0" applyNumberFormat="1" applyFont="1">
      <alignment horizontal="center" vertical="center"/>
    </xf>
    <xf numFmtId="170" fontId="44" fillId="0" borderId="0" xfId="0" applyNumberFormat="1" applyFont="1" applyAlignment="1"/>
    <xf numFmtId="170" fontId="37" fillId="0" borderId="0" xfId="0" applyNumberFormat="1" applyFont="1">
      <alignment horizontal="center" vertical="center"/>
    </xf>
    <xf numFmtId="170" fontId="44" fillId="10" borderId="0" xfId="0" applyNumberFormat="1" applyFont="1" applyFill="1" applyAlignment="1">
      <alignment horizontal="center" vertical="center" wrapText="1"/>
    </xf>
    <xf numFmtId="170" fontId="37" fillId="10" borderId="0" xfId="0" applyNumberFormat="1" applyFont="1" applyFill="1" applyAlignment="1">
      <alignment horizontal="left" vertical="center" indent="1"/>
    </xf>
    <xf numFmtId="170" fontId="37" fillId="10" borderId="0" xfId="0" applyNumberFormat="1" applyFont="1" applyFill="1">
      <alignment horizontal="center" vertical="center"/>
    </xf>
    <xf numFmtId="0" fontId="47" fillId="0" borderId="0" xfId="0" applyFont="1" applyAlignment="1">
      <alignment horizontal="left" vertical="center"/>
    </xf>
    <xf numFmtId="170" fontId="37" fillId="11" borderId="0" xfId="0" applyNumberFormat="1" applyFont="1" applyFill="1" applyAlignment="1">
      <alignment vertical="center"/>
    </xf>
    <xf numFmtId="0" fontId="37" fillId="11" borderId="0" xfId="0" applyFont="1" applyFill="1" applyAlignment="1">
      <alignment vertical="center"/>
    </xf>
    <xf numFmtId="170" fontId="44" fillId="0" borderId="0" xfId="0" applyNumberFormat="1" applyFont="1" applyAlignment="1">
      <alignment horizontal="centerContinuous" vertical="center" wrapText="1"/>
    </xf>
    <xf numFmtId="0" fontId="38" fillId="0" borderId="0" xfId="0" applyFont="1" applyAlignment="1">
      <alignment horizontal="centerContinuous" vertical="center" wrapText="1"/>
    </xf>
    <xf numFmtId="0" fontId="43" fillId="0" borderId="0" xfId="0" applyFont="1" applyAlignment="1">
      <alignment horizontal="centerContinuous" vertical="center" wrapText="1"/>
    </xf>
    <xf numFmtId="0" fontId="34" fillId="0" borderId="0" xfId="0" applyFont="1" applyAlignment="1">
      <alignment horizontal="centerContinuous" vertical="center" wrapText="1"/>
    </xf>
    <xf numFmtId="171" fontId="44" fillId="0" borderId="0" xfId="0" applyNumberFormat="1" applyFont="1">
      <alignment horizontal="center" vertical="center"/>
    </xf>
    <xf numFmtId="170" fontId="44" fillId="10" borderId="9" xfId="0" applyNumberFormat="1" applyFont="1" applyFill="1" applyBorder="1" applyAlignment="1">
      <alignment horizontal="center" vertical="center" wrapText="1"/>
    </xf>
    <xf numFmtId="175" fontId="37" fillId="10" borderId="0" xfId="0" applyNumberFormat="1" applyFont="1" applyFill="1">
      <alignment horizontal="center" vertical="center"/>
    </xf>
    <xf numFmtId="174" fontId="37" fillId="10" borderId="0" xfId="0" applyNumberFormat="1" applyFont="1" applyFill="1">
      <alignment horizontal="center" vertical="center"/>
    </xf>
    <xf numFmtId="0" fontId="37" fillId="0" borderId="0" xfId="0" applyFont="1" applyAlignment="1">
      <alignment vertical="center"/>
    </xf>
    <xf numFmtId="0" fontId="36" fillId="0" borderId="0" xfId="0" applyFont="1" applyAlignment="1">
      <alignment vertical="center"/>
    </xf>
    <xf numFmtId="0" fontId="34" fillId="12" borderId="0" xfId="0" applyFont="1" applyFill="1">
      <alignment horizontal="center" vertical="center"/>
    </xf>
    <xf numFmtId="170" fontId="37" fillId="11" borderId="0" xfId="0" applyNumberFormat="1" applyFont="1" applyFill="1">
      <alignment horizontal="center" vertical="center"/>
    </xf>
    <xf numFmtId="0" fontId="34" fillId="12" borderId="0" xfId="0" applyFont="1" applyFill="1" applyAlignment="1">
      <alignment vertical="center"/>
    </xf>
    <xf numFmtId="174" fontId="44" fillId="0" borderId="0" xfId="0" applyNumberFormat="1" applyFont="1">
      <alignment horizontal="center" vertical="center"/>
    </xf>
    <xf numFmtId="170" fontId="48" fillId="0" borderId="0" xfId="0" applyNumberFormat="1" applyFont="1" applyAlignment="1">
      <alignment vertical="center"/>
    </xf>
    <xf numFmtId="0" fontId="47" fillId="0" borderId="0" xfId="0" applyFont="1">
      <alignment horizontal="center" vertical="center"/>
    </xf>
    <xf numFmtId="0" fontId="42" fillId="0" borderId="0" xfId="0" applyFont="1">
      <alignment horizontal="center" vertical="center"/>
    </xf>
    <xf numFmtId="0" fontId="47" fillId="0" borderId="0" xfId="0" applyFont="1" applyAlignment="1">
      <alignment vertical="center"/>
    </xf>
    <xf numFmtId="171" fontId="34" fillId="12" borderId="0" xfId="0" applyNumberFormat="1" applyFont="1" applyFill="1">
      <alignment horizontal="center" vertical="center"/>
    </xf>
    <xf numFmtId="171" fontId="34" fillId="0" borderId="0" xfId="0" applyNumberFormat="1" applyFont="1">
      <alignment horizontal="center" vertical="center"/>
    </xf>
    <xf numFmtId="171" fontId="37" fillId="12" borderId="0" xfId="0" applyNumberFormat="1" applyFont="1" applyFill="1">
      <alignment horizontal="center" vertical="center"/>
    </xf>
    <xf numFmtId="172" fontId="37" fillId="12" borderId="0" xfId="0" applyNumberFormat="1" applyFont="1" applyFill="1">
      <alignment horizontal="center" vertical="center"/>
    </xf>
    <xf numFmtId="174" fontId="37" fillId="12" borderId="0" xfId="0" applyNumberFormat="1" applyFont="1" applyFill="1">
      <alignment horizontal="center" vertical="center"/>
    </xf>
    <xf numFmtId="170" fontId="37" fillId="12" borderId="0" xfId="0" applyNumberFormat="1" applyFont="1" applyFill="1">
      <alignment horizontal="center" vertical="center"/>
    </xf>
    <xf numFmtId="170" fontId="20" fillId="10" borderId="3" xfId="0" applyNumberFormat="1" applyFont="1" applyFill="1" applyBorder="1" applyAlignment="1">
      <alignment horizontal="center" vertical="center" wrapText="1"/>
    </xf>
    <xf numFmtId="176" fontId="0" fillId="11" borderId="0" xfId="3" applyNumberFormat="1" applyFont="1">
      <alignment horizontal="center" vertical="center"/>
    </xf>
    <xf numFmtId="170" fontId="49" fillId="0" borderId="0" xfId="0" applyNumberFormat="1" applyFont="1" applyAlignment="1">
      <alignment vertical="center"/>
    </xf>
    <xf numFmtId="170" fontId="51" fillId="10" borderId="9" xfId="0" applyNumberFormat="1" applyFont="1" applyFill="1" applyBorder="1" applyAlignment="1">
      <alignment horizontal="center" vertical="center" wrapText="1"/>
    </xf>
    <xf numFmtId="0" fontId="49" fillId="0" borderId="0" xfId="0" applyFont="1" applyAlignment="1">
      <alignment vertical="center"/>
    </xf>
    <xf numFmtId="170" fontId="50" fillId="0" borderId="0" xfId="0" applyNumberFormat="1" applyFont="1" applyAlignment="1">
      <alignment horizontal="center" vertical="center" textRotation="90" wrapText="1"/>
    </xf>
    <xf numFmtId="170" fontId="49" fillId="0" borderId="0" xfId="0" applyNumberFormat="1" applyFont="1" applyAlignment="1">
      <alignment horizontal="center" vertical="center" textRotation="90" wrapText="1"/>
    </xf>
    <xf numFmtId="170" fontId="20" fillId="10" borderId="18" xfId="0" applyNumberFormat="1" applyFont="1" applyFill="1" applyBorder="1" applyAlignment="1">
      <alignment horizontal="center" vertical="center" wrapText="1"/>
    </xf>
    <xf numFmtId="0" fontId="0" fillId="12" borderId="11" xfId="0" applyFill="1" applyBorder="1" applyAlignment="1">
      <alignment horizontal="center" vertical="center" wrapText="1"/>
    </xf>
    <xf numFmtId="170" fontId="20" fillId="10" borderId="11" xfId="0" applyNumberFormat="1" applyFont="1" applyFill="1" applyBorder="1" applyAlignment="1">
      <alignment horizontal="center" vertical="center" wrapText="1"/>
    </xf>
    <xf numFmtId="0" fontId="0" fillId="0" borderId="11" xfId="0" applyBorder="1">
      <alignment horizontal="center" vertical="center"/>
    </xf>
    <xf numFmtId="0" fontId="0" fillId="0" borderId="11" xfId="0" applyBorder="1" applyAlignment="1">
      <alignment horizontal="center"/>
    </xf>
    <xf numFmtId="170" fontId="0" fillId="12" borderId="11" xfId="3" applyFont="1" applyFill="1" applyBorder="1">
      <alignment horizontal="center" vertical="center"/>
    </xf>
    <xf numFmtId="170" fontId="0" fillId="0" borderId="11" xfId="0" applyNumberFormat="1" applyBorder="1">
      <alignment horizontal="center" vertical="center"/>
    </xf>
    <xf numFmtId="2" fontId="0" fillId="12" borderId="11" xfId="4" applyNumberFormat="1" applyFont="1" applyBorder="1">
      <alignment horizontal="center" vertical="center"/>
    </xf>
    <xf numFmtId="0" fontId="34" fillId="0" borderId="0" xfId="0" applyFont="1" applyAlignment="1">
      <alignment horizontal="right" vertical="center"/>
    </xf>
    <xf numFmtId="0" fontId="34" fillId="0" borderId="0" xfId="0" applyFont="1" applyAlignment="1"/>
    <xf numFmtId="171" fontId="34" fillId="0" borderId="2" xfId="0" applyNumberFormat="1" applyFont="1" applyBorder="1" applyAlignment="1">
      <alignment horizontal="right" vertical="center" wrapText="1"/>
    </xf>
    <xf numFmtId="171" fontId="34" fillId="0" borderId="7" xfId="0" applyNumberFormat="1" applyFont="1" applyBorder="1" applyAlignment="1">
      <alignment horizontal="right" vertical="center"/>
    </xf>
    <xf numFmtId="0" fontId="34" fillId="0" borderId="2" xfId="0" applyFont="1" applyBorder="1" applyAlignment="1">
      <alignment horizontal="right" vertical="center"/>
    </xf>
    <xf numFmtId="0" fontId="34" fillId="0" borderId="2" xfId="0" applyFont="1" applyBorder="1" applyAlignment="1">
      <alignment vertical="center"/>
    </xf>
    <xf numFmtId="171" fontId="34" fillId="0" borderId="0" xfId="0" applyNumberFormat="1" applyFont="1" applyAlignment="1">
      <alignment horizontal="right" vertical="center"/>
    </xf>
    <xf numFmtId="170" fontId="34" fillId="0" borderId="0" xfId="0" applyNumberFormat="1" applyFont="1" applyAlignment="1">
      <alignment horizontal="right" vertical="center"/>
    </xf>
    <xf numFmtId="0" fontId="34" fillId="0" borderId="3" xfId="0" applyFont="1" applyBorder="1" applyAlignment="1">
      <alignment vertical="center"/>
    </xf>
    <xf numFmtId="0" fontId="34" fillId="5" borderId="0" xfId="0" applyFont="1" applyFill="1" applyAlignment="1">
      <alignment vertical="center"/>
    </xf>
    <xf numFmtId="0" fontId="34" fillId="13" borderId="0" xfId="0" applyFont="1" applyFill="1" applyAlignment="1">
      <alignment horizontal="centerContinuous" vertical="center" wrapText="1"/>
    </xf>
    <xf numFmtId="0" fontId="34" fillId="5" borderId="5" xfId="0" applyFont="1" applyFill="1" applyBorder="1" applyAlignment="1">
      <alignment horizontal="centerContinuous" vertical="center" wrapText="1"/>
    </xf>
    <xf numFmtId="0" fontId="34" fillId="5" borderId="0" xfId="0" applyFont="1" applyFill="1" applyAlignment="1">
      <alignment horizontal="centerContinuous" vertical="center" wrapText="1"/>
    </xf>
    <xf numFmtId="171" fontId="34" fillId="0" borderId="0" xfId="0" applyNumberFormat="1" applyFont="1" applyAlignment="1">
      <alignment horizontal="right" vertical="center" wrapText="1"/>
    </xf>
    <xf numFmtId="171" fontId="34" fillId="0" borderId="5" xfId="0" applyNumberFormat="1" applyFont="1" applyBorder="1" applyAlignment="1">
      <alignment horizontal="right" vertical="center"/>
    </xf>
    <xf numFmtId="0" fontId="53" fillId="0" borderId="0" xfId="0" applyFont="1" applyAlignment="1">
      <alignment horizontal="right"/>
    </xf>
    <xf numFmtId="171" fontId="37" fillId="0" borderId="3" xfId="0" applyNumberFormat="1" applyFont="1" applyBorder="1" applyAlignment="1">
      <alignment horizontal="right" vertical="center"/>
    </xf>
    <xf numFmtId="173" fontId="37" fillId="0" borderId="3" xfId="0" applyNumberFormat="1" applyFont="1" applyBorder="1" applyAlignment="1">
      <alignment horizontal="right" vertical="center"/>
    </xf>
    <xf numFmtId="174" fontId="37" fillId="0" borderId="3" xfId="0" applyNumberFormat="1" applyFont="1" applyBorder="1" applyAlignment="1">
      <alignment horizontal="right" vertical="center"/>
    </xf>
    <xf numFmtId="172" fontId="37" fillId="0" borderId="0" xfId="0" applyNumberFormat="1" applyFont="1" applyAlignment="1">
      <alignment horizontal="right" vertical="center"/>
    </xf>
    <xf numFmtId="172" fontId="37" fillId="0" borderId="3" xfId="0" applyNumberFormat="1" applyFont="1" applyBorder="1" applyAlignment="1">
      <alignment horizontal="right" vertical="center"/>
    </xf>
    <xf numFmtId="171" fontId="37" fillId="0" borderId="2" xfId="0" applyNumberFormat="1" applyFont="1" applyBorder="1" applyAlignment="1">
      <alignment horizontal="right" vertical="center"/>
    </xf>
    <xf numFmtId="170" fontId="52" fillId="10" borderId="0" xfId="0" applyNumberFormat="1" applyFont="1" applyFill="1" applyAlignment="1">
      <alignment horizontal="center" vertical="center" wrapText="1"/>
    </xf>
    <xf numFmtId="174" fontId="37" fillId="0" borderId="2" xfId="0" applyNumberFormat="1" applyFont="1" applyBorder="1" applyAlignment="1">
      <alignment horizontal="right" vertical="center"/>
    </xf>
    <xf numFmtId="172" fontId="37" fillId="0" borderId="2" xfId="0" applyNumberFormat="1" applyFont="1" applyBorder="1" applyAlignment="1">
      <alignment horizontal="right" vertical="center"/>
    </xf>
    <xf numFmtId="173" fontId="37" fillId="0" borderId="2" xfId="0" applyNumberFormat="1" applyFont="1" applyBorder="1" applyAlignment="1">
      <alignment horizontal="right" vertical="center"/>
    </xf>
    <xf numFmtId="0" fontId="40" fillId="0" borderId="13" xfId="0" applyFont="1" applyBorder="1" applyAlignment="1">
      <alignment vertical="center"/>
    </xf>
    <xf numFmtId="172" fontId="55" fillId="0" borderId="13" xfId="0" applyNumberFormat="1" applyFont="1" applyBorder="1" applyAlignment="1">
      <alignment horizontal="right" vertical="center"/>
    </xf>
    <xf numFmtId="171" fontId="55" fillId="0" borderId="13" xfId="0" applyNumberFormat="1" applyFont="1" applyBorder="1" applyAlignment="1">
      <alignment horizontal="right" vertical="center"/>
    </xf>
    <xf numFmtId="171" fontId="37" fillId="0" borderId="0" xfId="0" applyNumberFormat="1" applyFont="1" applyAlignment="1">
      <alignment horizontal="right" vertical="center"/>
    </xf>
    <xf numFmtId="170" fontId="20" fillId="0" borderId="0" xfId="0" applyNumberFormat="1" applyFont="1" applyAlignment="1">
      <alignment horizontal="left" vertical="center" indent="3"/>
    </xf>
    <xf numFmtId="170" fontId="20" fillId="0" borderId="2" xfId="0" applyNumberFormat="1" applyFont="1" applyBorder="1" applyAlignment="1">
      <alignment horizontal="left" vertical="center" indent="3"/>
    </xf>
    <xf numFmtId="170" fontId="29" fillId="0" borderId="0" xfId="0" applyNumberFormat="1" applyFont="1" applyAlignment="1">
      <alignment horizontal="left" vertical="center" indent="2"/>
    </xf>
    <xf numFmtId="170" fontId="29" fillId="0" borderId="2" xfId="0" applyNumberFormat="1" applyFont="1" applyBorder="1" applyAlignment="1">
      <alignment horizontal="left" vertical="center" indent="2"/>
    </xf>
    <xf numFmtId="171" fontId="55" fillId="0" borderId="13" xfId="0" applyNumberFormat="1" applyFont="1" applyBorder="1" applyAlignment="1">
      <alignment horizontal="right" vertical="center" wrapText="1"/>
    </xf>
    <xf numFmtId="173" fontId="55" fillId="0" borderId="13" xfId="0" applyNumberFormat="1" applyFont="1" applyBorder="1" applyAlignment="1">
      <alignment horizontal="right" vertical="center"/>
    </xf>
    <xf numFmtId="174" fontId="55" fillId="0" borderId="13" xfId="0" applyNumberFormat="1" applyFont="1" applyBorder="1" applyAlignment="1">
      <alignment horizontal="right" vertical="center"/>
    </xf>
    <xf numFmtId="172" fontId="41" fillId="0" borderId="0" xfId="0" applyNumberFormat="1" applyFont="1" applyAlignment="1">
      <alignment horizontal="right" vertical="center"/>
    </xf>
    <xf numFmtId="0" fontId="54" fillId="0" borderId="0" xfId="0" applyFont="1" applyAlignment="1">
      <alignment horizontal="left" vertical="center" indent="2"/>
    </xf>
    <xf numFmtId="175" fontId="37" fillId="12" borderId="0" xfId="0" applyNumberFormat="1" applyFont="1" applyFill="1">
      <alignment horizontal="center" vertical="center"/>
    </xf>
    <xf numFmtId="0" fontId="37" fillId="11" borderId="0" xfId="0" applyFont="1" applyFill="1">
      <alignment horizontal="center" vertical="center"/>
    </xf>
    <xf numFmtId="171" fontId="29" fillId="0" borderId="0" xfId="0" applyNumberFormat="1" applyFont="1" applyAlignment="1">
      <alignment horizontal="left"/>
    </xf>
    <xf numFmtId="171" fontId="55" fillId="18" borderId="3" xfId="0" applyNumberFormat="1" applyFont="1" applyFill="1" applyBorder="1" applyAlignment="1">
      <alignment horizontal="right" vertical="center"/>
    </xf>
    <xf numFmtId="0" fontId="34" fillId="0" borderId="15" xfId="0" applyFont="1" applyBorder="1" applyAlignment="1">
      <alignment vertical="center"/>
    </xf>
    <xf numFmtId="0" fontId="34" fillId="0" borderId="13" xfId="0" applyFont="1" applyBorder="1" applyAlignment="1">
      <alignment vertical="center"/>
    </xf>
    <xf numFmtId="0" fontId="34" fillId="0" borderId="16" xfId="0" applyFont="1" applyBorder="1" applyAlignment="1">
      <alignment vertical="center"/>
    </xf>
    <xf numFmtId="0" fontId="34" fillId="0" borderId="5" xfId="0" applyFont="1" applyBorder="1" applyAlignment="1">
      <alignment horizontal="left" vertical="center" indent="1"/>
    </xf>
    <xf numFmtId="0" fontId="34" fillId="0" borderId="8" xfId="0" applyFont="1" applyBorder="1" applyAlignment="1">
      <alignment vertical="center"/>
    </xf>
    <xf numFmtId="0" fontId="34" fillId="0" borderId="5" xfId="0" applyFont="1" applyBorder="1" applyAlignment="1">
      <alignment vertical="center"/>
    </xf>
    <xf numFmtId="0" fontId="34" fillId="0" borderId="7" xfId="0" applyFont="1" applyBorder="1" applyAlignment="1">
      <alignment vertical="center"/>
    </xf>
    <xf numFmtId="0" fontId="34" fillId="0" borderId="4" xfId="0" applyFont="1" applyBorder="1" applyAlignment="1">
      <alignment vertical="center"/>
    </xf>
    <xf numFmtId="187" fontId="40" fillId="18" borderId="5" xfId="0" applyNumberFormat="1" applyFont="1" applyFill="1" applyBorder="1" applyAlignment="1">
      <alignment vertical="center"/>
    </xf>
    <xf numFmtId="170" fontId="34" fillId="0" borderId="4" xfId="0" applyNumberFormat="1" applyFont="1" applyBorder="1" applyAlignment="1">
      <alignment vertical="center"/>
    </xf>
    <xf numFmtId="171" fontId="34" fillId="0" borderId="7" xfId="0" applyNumberFormat="1" applyFont="1" applyBorder="1" applyAlignment="1">
      <alignment vertical="center"/>
    </xf>
    <xf numFmtId="0" fontId="34" fillId="0" borderId="9" xfId="0" applyFont="1" applyBorder="1" applyAlignment="1">
      <alignment vertical="center"/>
    </xf>
    <xf numFmtId="170" fontId="34" fillId="0" borderId="5" xfId="0" applyNumberFormat="1" applyFont="1" applyBorder="1" applyAlignment="1">
      <alignment vertical="center"/>
    </xf>
    <xf numFmtId="170" fontId="34" fillId="0" borderId="8" xfId="0" applyNumberFormat="1" applyFont="1" applyBorder="1" applyAlignment="1">
      <alignment vertical="center"/>
    </xf>
    <xf numFmtId="170" fontId="34" fillId="0" borderId="3" xfId="0" applyNumberFormat="1" applyFont="1" applyBorder="1" applyAlignment="1">
      <alignment vertical="center"/>
    </xf>
    <xf numFmtId="170" fontId="34" fillId="0" borderId="10" xfId="0" applyNumberFormat="1" applyFont="1" applyBorder="1" applyAlignment="1">
      <alignment vertical="center"/>
    </xf>
    <xf numFmtId="172" fontId="56" fillId="0" borderId="3" xfId="0" applyNumberFormat="1" applyFont="1" applyBorder="1" applyAlignment="1">
      <alignment horizontal="right" vertical="center"/>
    </xf>
    <xf numFmtId="172" fontId="56" fillId="0" borderId="0" xfId="0" applyNumberFormat="1" applyFont="1" applyAlignment="1">
      <alignment horizontal="right" vertical="center"/>
    </xf>
    <xf numFmtId="172" fontId="56" fillId="0" borderId="2" xfId="0" applyNumberFormat="1" applyFont="1" applyBorder="1" applyAlignment="1">
      <alignment horizontal="right" vertical="center"/>
    </xf>
    <xf numFmtId="171" fontId="42" fillId="0" borderId="3" xfId="0" applyNumberFormat="1" applyFont="1" applyBorder="1" applyAlignment="1">
      <alignment horizontal="right" vertical="center"/>
    </xf>
    <xf numFmtId="171" fontId="42" fillId="0" borderId="0" xfId="0" applyNumberFormat="1" applyFont="1" applyAlignment="1">
      <alignment horizontal="right" vertical="center"/>
    </xf>
    <xf numFmtId="171" fontId="42" fillId="0" borderId="2" xfId="0" applyNumberFormat="1" applyFont="1" applyBorder="1" applyAlignment="1">
      <alignment horizontal="right" vertical="center"/>
    </xf>
    <xf numFmtId="0" fontId="58" fillId="0" borderId="0" xfId="0" applyFont="1">
      <alignment horizontal="center" vertical="center"/>
    </xf>
    <xf numFmtId="183" fontId="14" fillId="12" borderId="0" xfId="0" applyNumberFormat="1" applyFont="1" applyFill="1">
      <alignment horizontal="center" vertical="center"/>
    </xf>
    <xf numFmtId="195" fontId="14" fillId="12" borderId="0" xfId="0" applyNumberFormat="1" applyFont="1" applyFill="1">
      <alignment horizontal="center" vertical="center"/>
    </xf>
    <xf numFmtId="170" fontId="14" fillId="10" borderId="0" xfId="6" applyNumberFormat="1" applyFont="1" applyFill="1" applyAlignment="1">
      <alignment horizontal="center" vertical="center"/>
    </xf>
    <xf numFmtId="166" fontId="28" fillId="0" borderId="0" xfId="6" applyNumberFormat="1" applyFont="1" applyAlignment="1">
      <alignment vertical="center"/>
    </xf>
    <xf numFmtId="166" fontId="28" fillId="0" borderId="2" xfId="6" applyNumberFormat="1" applyFont="1" applyBorder="1" applyAlignment="1">
      <alignment vertical="center"/>
    </xf>
    <xf numFmtId="170" fontId="0" fillId="22" borderId="0" xfId="6" applyNumberFormat="1" applyFont="1" applyFill="1" applyAlignment="1">
      <alignment vertical="center"/>
    </xf>
    <xf numFmtId="0" fontId="0" fillId="22" borderId="0" xfId="6" applyFont="1" applyFill="1" applyAlignment="1">
      <alignment vertical="center"/>
    </xf>
    <xf numFmtId="203" fontId="0" fillId="0" borderId="0" xfId="0" applyNumberFormat="1">
      <alignment horizontal="center" vertical="center"/>
    </xf>
    <xf numFmtId="174" fontId="29" fillId="13" borderId="5" xfId="1" applyNumberFormat="1" applyFont="1" applyFill="1" applyBorder="1" applyAlignment="1">
      <alignment horizontal="center" vertical="center"/>
    </xf>
    <xf numFmtId="174" fontId="0" fillId="5" borderId="5" xfId="6" applyNumberFormat="1" applyFont="1" applyFill="1" applyBorder="1" applyAlignment="1">
      <alignment horizontal="center" vertical="center"/>
    </xf>
    <xf numFmtId="174" fontId="20" fillId="0" borderId="5" xfId="0" applyNumberFormat="1" applyFont="1" applyBorder="1">
      <alignment horizontal="center" vertical="center"/>
    </xf>
    <xf numFmtId="174" fontId="0" fillId="3" borderId="5" xfId="6" applyNumberFormat="1" applyFont="1" applyFill="1" applyBorder="1" applyAlignment="1">
      <alignment horizontal="center" vertical="center"/>
    </xf>
    <xf numFmtId="174" fontId="29" fillId="13" borderId="7" xfId="1" applyNumberFormat="1" applyFont="1" applyFill="1" applyBorder="1" applyAlignment="1">
      <alignment horizontal="center" vertical="center"/>
    </xf>
    <xf numFmtId="174" fontId="20" fillId="0" borderId="7" xfId="0" applyNumberFormat="1" applyFont="1" applyBorder="1">
      <alignment horizontal="center" vertical="center"/>
    </xf>
    <xf numFmtId="174" fontId="20" fillId="11" borderId="5" xfId="0" applyNumberFormat="1" applyFont="1" applyFill="1" applyBorder="1">
      <alignment horizontal="center" vertical="center"/>
    </xf>
    <xf numFmtId="174" fontId="20" fillId="11" borderId="7" xfId="0" applyNumberFormat="1" applyFont="1" applyFill="1" applyBorder="1">
      <alignment horizontal="center" vertical="center"/>
    </xf>
    <xf numFmtId="170" fontId="0" fillId="3" borderId="0" xfId="6" applyNumberFormat="1" applyFont="1" applyFill="1" applyAlignment="1">
      <alignment horizontal="center" vertical="center"/>
    </xf>
    <xf numFmtId="0" fontId="34" fillId="0" borderId="0" xfId="0" applyFont="1" applyAlignment="1">
      <alignment horizontal="left" vertical="center" indent="1"/>
    </xf>
    <xf numFmtId="208" fontId="20" fillId="0" borderId="0" xfId="0" applyNumberFormat="1" applyFont="1" applyAlignment="1">
      <alignment vertical="center"/>
    </xf>
    <xf numFmtId="208" fontId="20" fillId="2" borderId="0" xfId="0" applyNumberFormat="1" applyFont="1" applyFill="1">
      <alignment horizontal="center" vertical="center"/>
    </xf>
    <xf numFmtId="208" fontId="63" fillId="26" borderId="0" xfId="17" applyNumberFormat="1" applyFont="1" applyBorder="1" applyAlignment="1">
      <alignment vertical="center"/>
    </xf>
    <xf numFmtId="11" fontId="0" fillId="0" borderId="22" xfId="0" applyNumberFormat="1" applyBorder="1">
      <alignment horizontal="center" vertical="center"/>
    </xf>
    <xf numFmtId="11" fontId="0" fillId="0" borderId="22" xfId="0" applyNumberFormat="1" applyBorder="1" applyAlignment="1">
      <alignment horizontal="center" wrapText="1"/>
    </xf>
    <xf numFmtId="170" fontId="20" fillId="10" borderId="22" xfId="0" applyNumberFormat="1" applyFont="1" applyFill="1" applyBorder="1" applyAlignment="1">
      <alignment horizontal="center" vertical="center" wrapText="1"/>
    </xf>
    <xf numFmtId="11" fontId="0" fillId="0" borderId="22" xfId="0" applyNumberFormat="1" applyBorder="1" applyAlignment="1">
      <alignment horizontal="center"/>
    </xf>
    <xf numFmtId="170" fontId="20" fillId="5" borderId="0" xfId="0" applyNumberFormat="1" applyFont="1" applyFill="1">
      <alignment horizontal="center" vertical="center"/>
    </xf>
    <xf numFmtId="0" fontId="0" fillId="0" borderId="23" xfId="0" applyBorder="1" applyAlignment="1">
      <alignment horizontal="left" vertical="center" indent="1"/>
    </xf>
    <xf numFmtId="0" fontId="0" fillId="0" borderId="23" xfId="0" applyBorder="1" applyAlignment="1">
      <alignment horizontal="left" vertical="center"/>
    </xf>
    <xf numFmtId="170" fontId="16" fillId="18" borderId="23" xfId="4" applyNumberFormat="1" applyFont="1" applyFill="1" applyBorder="1">
      <alignment horizontal="center" vertical="center"/>
    </xf>
    <xf numFmtId="0" fontId="22" fillId="0" borderId="23" xfId="0" applyFont="1" applyBorder="1" applyAlignment="1">
      <alignment horizontal="left"/>
    </xf>
    <xf numFmtId="0" fontId="0" fillId="0" borderId="23" xfId="0" applyBorder="1">
      <alignment horizontal="center" vertical="center"/>
    </xf>
    <xf numFmtId="3" fontId="34" fillId="0" borderId="0" xfId="0" applyNumberFormat="1" applyFont="1">
      <alignment horizontal="center" vertical="center"/>
    </xf>
    <xf numFmtId="210" fontId="0" fillId="11" borderId="0" xfId="6" applyNumberFormat="1" applyFont="1" applyFill="1" applyAlignment="1">
      <alignment horizontal="center"/>
    </xf>
    <xf numFmtId="170" fontId="0" fillId="0" borderId="0" xfId="4" applyNumberFormat="1" applyFont="1" applyFill="1">
      <alignment horizontal="center" vertical="center"/>
    </xf>
    <xf numFmtId="170" fontId="0" fillId="0" borderId="0" xfId="1" applyNumberFormat="1" applyFont="1" applyFill="1" applyAlignment="1">
      <alignment horizontal="center" vertical="center"/>
    </xf>
    <xf numFmtId="9" fontId="0" fillId="0" borderId="0" xfId="1" applyFont="1" applyFill="1" applyAlignment="1">
      <alignment horizontal="center" vertical="center"/>
    </xf>
    <xf numFmtId="178" fontId="0" fillId="0" borderId="0" xfId="4" applyFont="1" applyFill="1">
      <alignment horizontal="center" vertical="center"/>
    </xf>
    <xf numFmtId="174" fontId="0" fillId="0" borderId="0" xfId="4" applyNumberFormat="1" applyFont="1" applyFill="1">
      <alignment horizontal="center" vertical="center"/>
    </xf>
    <xf numFmtId="172" fontId="0" fillId="0" borderId="0" xfId="4" applyNumberFormat="1" applyFont="1" applyFill="1">
      <alignment horizontal="center" vertical="center"/>
    </xf>
    <xf numFmtId="181" fontId="0" fillId="0" borderId="0" xfId="4" applyNumberFormat="1" applyFont="1" applyFill="1">
      <alignment horizontal="center" vertical="center"/>
    </xf>
    <xf numFmtId="182" fontId="0" fillId="0" borderId="0" xfId="4" applyNumberFormat="1" applyFont="1" applyFill="1">
      <alignment horizontal="center" vertical="center"/>
    </xf>
    <xf numFmtId="11" fontId="0" fillId="0" borderId="0" xfId="4" applyNumberFormat="1" applyFont="1" applyFill="1">
      <alignment horizontal="center" vertical="center"/>
    </xf>
    <xf numFmtId="180" fontId="0" fillId="0" borderId="0" xfId="4" applyNumberFormat="1" applyFont="1" applyFill="1">
      <alignment horizontal="center" vertical="center"/>
    </xf>
    <xf numFmtId="0" fontId="0" fillId="21" borderId="0" xfId="0" applyFill="1" applyAlignment="1">
      <alignment horizontal="left" vertical="center"/>
    </xf>
    <xf numFmtId="0" fontId="0" fillId="21" borderId="0" xfId="0" applyFill="1">
      <alignment horizontal="center" vertical="center"/>
    </xf>
    <xf numFmtId="0" fontId="0" fillId="14" borderId="0" xfId="0" applyFill="1" applyAlignment="1">
      <alignment horizontal="left" vertical="center"/>
    </xf>
    <xf numFmtId="0" fontId="0" fillId="14" borderId="0" xfId="0" applyFill="1">
      <alignment horizontal="center" vertical="center"/>
    </xf>
    <xf numFmtId="170" fontId="0" fillId="21" borderId="0" xfId="4" applyNumberFormat="1" applyFont="1" applyFill="1">
      <alignment horizontal="center" vertical="center"/>
    </xf>
    <xf numFmtId="170" fontId="21" fillId="2" borderId="24" xfId="0" applyNumberFormat="1" applyFont="1" applyFill="1" applyBorder="1" applyAlignment="1">
      <alignment horizontal="centerContinuous" vertical="center" wrapText="1"/>
    </xf>
    <xf numFmtId="170" fontId="21" fillId="2" borderId="25" xfId="0" applyNumberFormat="1" applyFont="1" applyFill="1" applyBorder="1" applyAlignment="1">
      <alignment horizontal="centerContinuous" vertical="center" wrapText="1"/>
    </xf>
    <xf numFmtId="170" fontId="21" fillId="2" borderId="26" xfId="0" applyNumberFormat="1" applyFont="1" applyFill="1" applyBorder="1" applyAlignment="1">
      <alignment horizontal="centerContinuous" vertical="center" wrapText="1"/>
    </xf>
    <xf numFmtId="170" fontId="20" fillId="10" borderId="27" xfId="0" applyNumberFormat="1" applyFont="1" applyFill="1" applyBorder="1" applyAlignment="1">
      <alignment horizontal="centerContinuous" vertical="center" wrapText="1"/>
    </xf>
    <xf numFmtId="170" fontId="20" fillId="10" borderId="29" xfId="0" applyNumberFormat="1" applyFont="1" applyFill="1" applyBorder="1" applyAlignment="1">
      <alignment vertical="center"/>
    </xf>
    <xf numFmtId="170" fontId="20" fillId="10" borderId="30" xfId="0" applyNumberFormat="1" applyFont="1" applyFill="1" applyBorder="1">
      <alignment horizontal="center" vertical="center"/>
    </xf>
    <xf numFmtId="170" fontId="20" fillId="0" borderId="27" xfId="0" applyNumberFormat="1" applyFont="1" applyBorder="1" applyAlignment="1">
      <alignment vertical="center"/>
    </xf>
    <xf numFmtId="170" fontId="20" fillId="0" borderId="28" xfId="0" applyNumberFormat="1" applyFont="1" applyBorder="1" applyAlignment="1">
      <alignment vertical="center"/>
    </xf>
    <xf numFmtId="170" fontId="20" fillId="0" borderId="27" xfId="0" applyNumberFormat="1" applyFont="1" applyBorder="1" applyAlignment="1">
      <alignment horizontal="right" vertical="center" indent="1"/>
    </xf>
    <xf numFmtId="170" fontId="20" fillId="10" borderId="28" xfId="0" applyNumberFormat="1" applyFont="1" applyFill="1" applyBorder="1" applyAlignment="1">
      <alignment horizontal="centerContinuous" vertical="center" wrapText="1"/>
    </xf>
    <xf numFmtId="0" fontId="20" fillId="11" borderId="0" xfId="0" applyFont="1" applyFill="1">
      <alignment horizontal="center" vertical="center"/>
    </xf>
    <xf numFmtId="172" fontId="24" fillId="13" borderId="0" xfId="0" applyNumberFormat="1" applyFont="1" applyFill="1" applyAlignment="1">
      <alignment vertical="center"/>
    </xf>
    <xf numFmtId="170" fontId="20" fillId="2" borderId="0" xfId="0" applyNumberFormat="1" applyFont="1" applyFill="1">
      <alignment horizontal="center" vertical="center"/>
    </xf>
    <xf numFmtId="170" fontId="20" fillId="10" borderId="11" xfId="0" applyNumberFormat="1" applyFont="1" applyFill="1" applyBorder="1">
      <alignment horizontal="center" vertical="center"/>
    </xf>
    <xf numFmtId="174" fontId="20" fillId="0" borderId="11" xfId="0" applyNumberFormat="1" applyFont="1" applyBorder="1">
      <alignment horizontal="center" vertical="center"/>
    </xf>
    <xf numFmtId="174" fontId="29" fillId="13" borderId="11" xfId="1" applyNumberFormat="1" applyFont="1" applyFill="1" applyBorder="1" applyAlignment="1">
      <alignment horizontal="center" vertical="center"/>
    </xf>
    <xf numFmtId="174" fontId="20" fillId="14" borderId="11" xfId="0" applyNumberFormat="1" applyFont="1" applyFill="1" applyBorder="1">
      <alignment horizontal="center" vertical="center"/>
    </xf>
    <xf numFmtId="174" fontId="20" fillId="11" borderId="11" xfId="0" applyNumberFormat="1" applyFont="1" applyFill="1" applyBorder="1">
      <alignment horizontal="center" vertical="center"/>
    </xf>
    <xf numFmtId="170" fontId="24" fillId="13" borderId="2" xfId="0" applyNumberFormat="1" applyFont="1" applyFill="1" applyBorder="1">
      <alignment horizontal="center" vertical="center"/>
    </xf>
    <xf numFmtId="170" fontId="24" fillId="13" borderId="3" xfId="0" applyNumberFormat="1" applyFont="1" applyFill="1" applyBorder="1">
      <alignment horizontal="center" vertical="center"/>
    </xf>
    <xf numFmtId="170" fontId="29" fillId="0" borderId="0" xfId="0" applyNumberFormat="1" applyFont="1">
      <alignment horizontal="center" vertical="center"/>
    </xf>
    <xf numFmtId="170" fontId="20" fillId="5" borderId="0" xfId="6" applyNumberFormat="1" applyFont="1" applyFill="1" applyAlignment="1">
      <alignment horizontal="center" vertical="center"/>
    </xf>
    <xf numFmtId="170" fontId="20" fillId="0" borderId="0" xfId="4" applyNumberFormat="1" applyFont="1" applyFill="1">
      <alignment horizontal="center" vertical="center"/>
    </xf>
    <xf numFmtId="170" fontId="20" fillId="0" borderId="2" xfId="4" applyNumberFormat="1" applyFont="1" applyFill="1" applyBorder="1">
      <alignment horizontal="center" vertical="center"/>
    </xf>
    <xf numFmtId="170" fontId="20" fillId="14" borderId="0" xfId="0" applyNumberFormat="1" applyFont="1" applyFill="1">
      <alignment horizontal="center" vertical="center"/>
    </xf>
    <xf numFmtId="170" fontId="20" fillId="14" borderId="0" xfId="4" applyNumberFormat="1" applyFont="1" applyFill="1">
      <alignment horizontal="center" vertical="center"/>
    </xf>
    <xf numFmtId="170" fontId="24" fillId="0" borderId="0" xfId="0" applyNumberFormat="1" applyFont="1">
      <alignment horizontal="center" vertical="center"/>
    </xf>
    <xf numFmtId="170" fontId="20" fillId="12" borderId="0" xfId="0" applyNumberFormat="1" applyFont="1" applyFill="1">
      <alignment horizontal="center" vertical="center"/>
    </xf>
    <xf numFmtId="170" fontId="24" fillId="20" borderId="0" xfId="0" applyNumberFormat="1" applyFont="1" applyFill="1">
      <alignment horizontal="center" vertical="center"/>
    </xf>
    <xf numFmtId="170" fontId="20" fillId="0" borderId="0" xfId="6" applyNumberFormat="1" applyFont="1" applyAlignment="1">
      <alignment horizontal="center" vertical="center"/>
    </xf>
    <xf numFmtId="170" fontId="20" fillId="0" borderId="7" xfId="0" applyNumberFormat="1" applyFont="1" applyBorder="1">
      <alignment horizontal="center" vertical="center"/>
    </xf>
    <xf numFmtId="170" fontId="29" fillId="0" borderId="2" xfId="0" applyNumberFormat="1" applyFont="1" applyBorder="1">
      <alignment horizontal="center" vertical="center"/>
    </xf>
    <xf numFmtId="170" fontId="21" fillId="19" borderId="0" xfId="0" applyNumberFormat="1" applyFont="1" applyFill="1">
      <alignment horizontal="center" vertical="center"/>
    </xf>
    <xf numFmtId="170" fontId="20" fillId="11" borderId="0" xfId="3" applyFont="1">
      <alignment horizontal="center" vertical="center"/>
    </xf>
    <xf numFmtId="174" fontId="29" fillId="13" borderId="0" xfId="1" applyNumberFormat="1" applyFont="1" applyFill="1" applyBorder="1" applyAlignment="1">
      <alignment horizontal="center" vertical="center"/>
    </xf>
    <xf numFmtId="170" fontId="21" fillId="2" borderId="0" xfId="0" applyNumberFormat="1" applyFont="1" applyFill="1">
      <alignment horizontal="center" vertical="center"/>
    </xf>
    <xf numFmtId="170" fontId="0" fillId="12" borderId="0" xfId="6" applyNumberFormat="1" applyFont="1" applyFill="1" applyAlignment="1">
      <alignment horizontal="center" vertical="center"/>
    </xf>
    <xf numFmtId="170" fontId="20" fillId="12" borderId="2" xfId="0" applyNumberFormat="1" applyFont="1" applyFill="1" applyBorder="1">
      <alignment horizontal="center" vertical="center"/>
    </xf>
    <xf numFmtId="170" fontId="20" fillId="20" borderId="0" xfId="0" applyNumberFormat="1" applyFont="1" applyFill="1">
      <alignment horizontal="center" vertical="center"/>
    </xf>
    <xf numFmtId="174" fontId="20" fillId="11" borderId="11" xfId="1" applyNumberFormat="1" applyFont="1" applyFill="1" applyBorder="1" applyAlignment="1">
      <alignment horizontal="center" vertical="center"/>
    </xf>
    <xf numFmtId="172" fontId="20" fillId="11" borderId="0" xfId="0" applyNumberFormat="1" applyFont="1" applyFill="1">
      <alignment horizontal="center" vertical="center"/>
    </xf>
    <xf numFmtId="172" fontId="24" fillId="13" borderId="0" xfId="0" applyNumberFormat="1" applyFont="1" applyFill="1">
      <alignment horizontal="center" vertical="center"/>
    </xf>
    <xf numFmtId="174" fontId="29" fillId="13" borderId="3" xfId="1" applyNumberFormat="1" applyFont="1" applyFill="1" applyBorder="1" applyAlignment="1">
      <alignment horizontal="center" vertical="center"/>
    </xf>
    <xf numFmtId="170" fontId="21" fillId="2" borderId="34" xfId="0" applyNumberFormat="1" applyFont="1" applyFill="1" applyBorder="1" applyAlignment="1">
      <alignment horizontal="centerContinuous" vertical="center" wrapText="1"/>
    </xf>
    <xf numFmtId="170" fontId="21" fillId="2" borderId="35" xfId="0" applyNumberFormat="1" applyFont="1" applyFill="1" applyBorder="1" applyAlignment="1">
      <alignment horizontal="centerContinuous" vertical="center" wrapText="1"/>
    </xf>
    <xf numFmtId="170" fontId="20" fillId="10" borderId="36" xfId="0" applyNumberFormat="1" applyFont="1" applyFill="1" applyBorder="1" applyAlignment="1">
      <alignment horizontal="center" vertical="center" wrapText="1"/>
    </xf>
    <xf numFmtId="170" fontId="20" fillId="10" borderId="28" xfId="0" applyNumberFormat="1" applyFont="1" applyFill="1" applyBorder="1">
      <alignment horizontal="center" vertical="center"/>
    </xf>
    <xf numFmtId="172" fontId="20" fillId="0" borderId="0" xfId="6" applyNumberFormat="1" applyFont="1" applyAlignment="1">
      <alignment horizontal="center" vertical="center"/>
    </xf>
    <xf numFmtId="0" fontId="20" fillId="2" borderId="0" xfId="0" applyFont="1" applyFill="1">
      <alignment horizontal="center" vertical="center"/>
    </xf>
    <xf numFmtId="172" fontId="20" fillId="0" borderId="2" xfId="0" applyNumberFormat="1" applyFont="1" applyBorder="1">
      <alignment horizontal="center" vertical="center"/>
    </xf>
    <xf numFmtId="172" fontId="20" fillId="0" borderId="2" xfId="6" applyNumberFormat="1" applyFont="1" applyBorder="1" applyAlignment="1">
      <alignment horizontal="center" vertical="center"/>
    </xf>
    <xf numFmtId="172" fontId="21" fillId="19" borderId="0" xfId="2" applyNumberFormat="1" applyFont="1" applyFill="1" applyBorder="1" applyAlignment="1">
      <alignment horizontal="center" vertical="center"/>
    </xf>
    <xf numFmtId="174" fontId="20" fillId="10" borderId="0" xfId="0" applyNumberFormat="1" applyFont="1" applyFill="1">
      <alignment horizontal="center" vertical="center"/>
    </xf>
    <xf numFmtId="170" fontId="20" fillId="10" borderId="29" xfId="0" applyNumberFormat="1" applyFont="1" applyFill="1" applyBorder="1">
      <alignment horizontal="center" vertical="center"/>
    </xf>
    <xf numFmtId="170" fontId="20" fillId="10" borderId="36" xfId="0" applyNumberFormat="1" applyFont="1" applyFill="1" applyBorder="1">
      <alignment horizontal="center" vertical="center"/>
    </xf>
    <xf numFmtId="174" fontId="20" fillId="0" borderId="28" xfId="4" applyNumberFormat="1" applyFont="1" applyFill="1" applyBorder="1">
      <alignment horizontal="center" vertical="center"/>
    </xf>
    <xf numFmtId="174" fontId="29" fillId="13" borderId="8" xfId="1" applyNumberFormat="1" applyFont="1" applyFill="1" applyBorder="1" applyAlignment="1">
      <alignment horizontal="center" vertical="center"/>
    </xf>
    <xf numFmtId="172" fontId="20" fillId="2" borderId="0" xfId="0" applyNumberFormat="1" applyFont="1" applyFill="1">
      <alignment horizontal="center" vertical="center"/>
    </xf>
    <xf numFmtId="172" fontId="20" fillId="10" borderId="2" xfId="0" applyNumberFormat="1" applyFont="1" applyFill="1" applyBorder="1">
      <alignment horizontal="center" vertical="center"/>
    </xf>
    <xf numFmtId="172" fontId="20" fillId="0" borderId="0" xfId="4" applyNumberFormat="1" applyFont="1" applyFill="1">
      <alignment horizontal="center" vertical="center"/>
    </xf>
    <xf numFmtId="173" fontId="20" fillId="0" borderId="0" xfId="0" applyNumberFormat="1" applyFont="1">
      <alignment horizontal="center" vertical="center"/>
    </xf>
    <xf numFmtId="173" fontId="20" fillId="0" borderId="0" xfId="4" applyNumberFormat="1" applyFont="1" applyFill="1">
      <alignment horizontal="center" vertical="center"/>
    </xf>
    <xf numFmtId="173" fontId="20" fillId="0" borderId="2" xfId="0" applyNumberFormat="1" applyFont="1" applyBorder="1">
      <alignment horizontal="center" vertical="center"/>
    </xf>
    <xf numFmtId="170" fontId="20" fillId="10" borderId="27" xfId="0" applyNumberFormat="1" applyFont="1" applyFill="1" applyBorder="1">
      <alignment horizontal="center" vertical="center"/>
    </xf>
    <xf numFmtId="170" fontId="20" fillId="0" borderId="27" xfId="0" applyNumberFormat="1" applyFont="1" applyBorder="1">
      <alignment horizontal="center" vertical="center"/>
    </xf>
    <xf numFmtId="174" fontId="20" fillId="0" borderId="29" xfId="0" applyNumberFormat="1" applyFont="1" applyBorder="1">
      <alignment horizontal="center" vertical="center"/>
    </xf>
    <xf numFmtId="170" fontId="20" fillId="0" borderId="29" xfId="0" applyNumberFormat="1" applyFont="1" applyBorder="1">
      <alignment horizontal="center" vertical="center"/>
    </xf>
    <xf numFmtId="174" fontId="21" fillId="2" borderId="26" xfId="0" applyNumberFormat="1" applyFont="1" applyFill="1" applyBorder="1" applyAlignment="1">
      <alignment horizontal="centerContinuous" vertical="center" wrapText="1"/>
    </xf>
    <xf numFmtId="174" fontId="20" fillId="10" borderId="28" xfId="0" applyNumberFormat="1" applyFont="1" applyFill="1" applyBorder="1">
      <alignment horizontal="center" vertical="center"/>
    </xf>
    <xf numFmtId="174" fontId="20" fillId="0" borderId="28" xfId="1" applyNumberFormat="1" applyFont="1" applyFill="1" applyBorder="1" applyAlignment="1">
      <alignment horizontal="center" vertical="center"/>
    </xf>
    <xf numFmtId="174" fontId="20" fillId="2" borderId="28" xfId="1" applyNumberFormat="1" applyFont="1" applyFill="1" applyBorder="1" applyAlignment="1">
      <alignment horizontal="center" vertical="center"/>
    </xf>
    <xf numFmtId="174" fontId="20" fillId="0" borderId="30" xfId="4" applyNumberFormat="1" applyFont="1" applyFill="1" applyBorder="1">
      <alignment horizontal="center" vertical="center"/>
    </xf>
    <xf numFmtId="174" fontId="20" fillId="12" borderId="28" xfId="4" applyNumberFormat="1" applyFont="1" applyBorder="1">
      <alignment horizontal="center" vertical="center"/>
    </xf>
    <xf numFmtId="174" fontId="0" fillId="5" borderId="28" xfId="6" applyNumberFormat="1" applyFont="1" applyFill="1" applyBorder="1" applyAlignment="1">
      <alignment horizontal="center" vertical="center"/>
    </xf>
    <xf numFmtId="174" fontId="0" fillId="3" borderId="28" xfId="6" applyNumberFormat="1" applyFont="1" applyFill="1" applyBorder="1" applyAlignment="1">
      <alignment horizontal="center" vertical="center"/>
    </xf>
    <xf numFmtId="174" fontId="20" fillId="0" borderId="28" xfId="0" applyNumberFormat="1" applyFont="1" applyBorder="1">
      <alignment horizontal="center" vertical="center"/>
    </xf>
    <xf numFmtId="170" fontId="20" fillId="0" borderId="28" xfId="0" applyNumberFormat="1" applyFont="1" applyBorder="1">
      <alignment horizontal="center" vertical="center"/>
    </xf>
    <xf numFmtId="170" fontId="21" fillId="2" borderId="40" xfId="0" applyNumberFormat="1" applyFont="1" applyFill="1" applyBorder="1" applyAlignment="1">
      <alignment horizontal="centerContinuous" vertical="center" wrapText="1"/>
    </xf>
    <xf numFmtId="170" fontId="21" fillId="2" borderId="41" xfId="0" applyNumberFormat="1" applyFont="1" applyFill="1" applyBorder="1" applyAlignment="1">
      <alignment horizontal="centerContinuous" vertical="center" wrapText="1"/>
    </xf>
    <xf numFmtId="174" fontId="21" fillId="2" borderId="41" xfId="0" applyNumberFormat="1" applyFont="1" applyFill="1" applyBorder="1" applyAlignment="1">
      <alignment horizontal="centerContinuous" vertical="center" wrapText="1"/>
    </xf>
    <xf numFmtId="170" fontId="20" fillId="10" borderId="43" xfId="0" applyNumberFormat="1" applyFont="1" applyFill="1" applyBorder="1" applyAlignment="1">
      <alignment horizontal="center" vertical="center" wrapText="1"/>
    </xf>
    <xf numFmtId="170" fontId="20" fillId="10" borderId="44" xfId="0" applyNumberFormat="1" applyFont="1" applyFill="1" applyBorder="1" applyAlignment="1">
      <alignment horizontal="center" vertical="center" wrapText="1"/>
    </xf>
    <xf numFmtId="174" fontId="20" fillId="10" borderId="43" xfId="0" applyNumberFormat="1" applyFont="1" applyFill="1" applyBorder="1">
      <alignment horizontal="center" vertical="center"/>
    </xf>
    <xf numFmtId="174" fontId="20" fillId="10" borderId="41" xfId="0" applyNumberFormat="1" applyFont="1" applyFill="1" applyBorder="1">
      <alignment horizontal="center" vertical="center"/>
    </xf>
    <xf numFmtId="170" fontId="20" fillId="0" borderId="29" xfId="0" applyNumberFormat="1" applyFont="1" applyBorder="1" applyAlignment="1">
      <alignment vertical="center"/>
    </xf>
    <xf numFmtId="170" fontId="20" fillId="5" borderId="27" xfId="6" applyNumberFormat="1" applyFont="1" applyFill="1" applyBorder="1" applyAlignment="1">
      <alignment vertical="center"/>
    </xf>
    <xf numFmtId="170" fontId="21" fillId="10" borderId="40" xfId="0" applyNumberFormat="1" applyFont="1" applyFill="1" applyBorder="1" applyAlignment="1">
      <alignment vertical="center"/>
    </xf>
    <xf numFmtId="170" fontId="20" fillId="10" borderId="43" xfId="0" applyNumberFormat="1" applyFont="1" applyFill="1" applyBorder="1" applyAlignment="1">
      <alignment vertical="center"/>
    </xf>
    <xf numFmtId="170" fontId="20" fillId="0" borderId="43" xfId="0" applyNumberFormat="1" applyFont="1" applyBorder="1" applyAlignment="1">
      <alignment vertical="center"/>
    </xf>
    <xf numFmtId="170" fontId="20" fillId="10" borderId="43" xfId="0" applyNumberFormat="1" applyFont="1" applyFill="1" applyBorder="1">
      <alignment horizontal="center" vertical="center"/>
    </xf>
    <xf numFmtId="170" fontId="21" fillId="2" borderId="27" xfId="0" applyNumberFormat="1" applyFont="1" applyFill="1" applyBorder="1" applyAlignment="1">
      <alignment vertical="center"/>
    </xf>
    <xf numFmtId="170" fontId="20" fillId="0" borderId="27" xfId="0" applyNumberFormat="1" applyFont="1" applyBorder="1" applyAlignment="1">
      <alignment horizontal="left" vertical="center" indent="2"/>
    </xf>
    <xf numFmtId="170" fontId="20" fillId="0" borderId="29" xfId="0" applyNumberFormat="1" applyFont="1" applyBorder="1" applyAlignment="1">
      <alignment horizontal="left" vertical="center" indent="2"/>
    </xf>
    <xf numFmtId="170" fontId="20" fillId="0" borderId="30" xfId="0" applyNumberFormat="1" applyFont="1" applyBorder="1" applyAlignment="1">
      <alignment vertical="center"/>
    </xf>
    <xf numFmtId="170" fontId="20" fillId="0" borderId="27" xfId="0" applyNumberFormat="1" applyFont="1" applyBorder="1" applyAlignment="1">
      <alignment horizontal="left" vertical="center" indent="1"/>
    </xf>
    <xf numFmtId="170" fontId="20" fillId="0" borderId="29" xfId="0" applyNumberFormat="1" applyFont="1" applyBorder="1" applyAlignment="1">
      <alignment horizontal="left" vertical="center" indent="1"/>
    </xf>
    <xf numFmtId="170" fontId="20" fillId="0" borderId="30" xfId="0" applyNumberFormat="1" applyFont="1" applyBorder="1">
      <alignment horizontal="center" vertical="center"/>
    </xf>
    <xf numFmtId="170" fontId="20" fillId="3" borderId="0" xfId="6" applyNumberFormat="1" applyFont="1" applyFill="1" applyAlignment="1">
      <alignment horizontal="center" vertical="center"/>
    </xf>
    <xf numFmtId="170" fontId="21" fillId="2" borderId="43" xfId="0" applyNumberFormat="1" applyFont="1" applyFill="1" applyBorder="1" applyAlignment="1">
      <alignment horizontal="centerContinuous" vertical="center" wrapText="1"/>
    </xf>
    <xf numFmtId="170" fontId="21" fillId="2" borderId="44" xfId="0" applyNumberFormat="1" applyFont="1" applyFill="1" applyBorder="1" applyAlignment="1">
      <alignment horizontal="centerContinuous" vertical="center" wrapText="1"/>
    </xf>
    <xf numFmtId="170" fontId="21" fillId="2" borderId="42" xfId="0" applyNumberFormat="1" applyFont="1" applyFill="1" applyBorder="1" applyAlignment="1">
      <alignment horizontal="centerContinuous" vertical="center" wrapText="1"/>
    </xf>
    <xf numFmtId="170" fontId="20" fillId="10" borderId="41" xfId="0" applyNumberFormat="1" applyFont="1" applyFill="1" applyBorder="1" applyAlignment="1">
      <alignment horizontal="center" vertical="center" wrapText="1"/>
    </xf>
    <xf numFmtId="170" fontId="20" fillId="2" borderId="5" xfId="0" applyNumberFormat="1" applyFont="1" applyFill="1" applyBorder="1">
      <alignment horizontal="center" vertical="center"/>
    </xf>
    <xf numFmtId="0" fontId="20" fillId="10" borderId="5" xfId="0" applyFont="1" applyFill="1" applyBorder="1">
      <alignment horizontal="center" vertical="center"/>
    </xf>
    <xf numFmtId="170" fontId="21" fillId="10" borderId="27" xfId="0" applyNumberFormat="1" applyFont="1" applyFill="1" applyBorder="1" applyAlignment="1">
      <alignment horizontal="left" vertical="center"/>
    </xf>
    <xf numFmtId="170" fontId="20" fillId="10" borderId="40" xfId="0" applyNumberFormat="1" applyFont="1" applyFill="1" applyBorder="1" applyAlignment="1">
      <alignment horizontal="center" vertical="center" wrapText="1"/>
    </xf>
    <xf numFmtId="170" fontId="20" fillId="0" borderId="0" xfId="1" applyNumberFormat="1" applyFont="1" applyFill="1" applyBorder="1" applyAlignment="1">
      <alignment horizontal="center" vertical="center"/>
    </xf>
    <xf numFmtId="170" fontId="20" fillId="0" borderId="0" xfId="3" applyFont="1" applyFill="1">
      <alignment horizontal="center" vertical="center"/>
    </xf>
    <xf numFmtId="170" fontId="20" fillId="0" borderId="28" xfId="1" applyNumberFormat="1" applyFont="1" applyFill="1" applyBorder="1" applyAlignment="1">
      <alignment horizontal="center" vertical="center"/>
    </xf>
    <xf numFmtId="170" fontId="20" fillId="2" borderId="0" xfId="1" applyNumberFormat="1" applyFont="1" applyFill="1" applyBorder="1" applyAlignment="1">
      <alignment horizontal="center" vertical="center"/>
    </xf>
    <xf numFmtId="170" fontId="20" fillId="2" borderId="4" xfId="0" applyNumberFormat="1" applyFont="1" applyFill="1" applyBorder="1">
      <alignment horizontal="center" vertical="center"/>
    </xf>
    <xf numFmtId="170" fontId="20" fillId="2" borderId="0" xfId="3" applyFont="1" applyFill="1">
      <alignment horizontal="center" vertical="center"/>
    </xf>
    <xf numFmtId="170" fontId="20" fillId="2" borderId="28" xfId="0" applyNumberFormat="1" applyFont="1" applyFill="1" applyBorder="1">
      <alignment horizontal="center" vertical="center"/>
    </xf>
    <xf numFmtId="170" fontId="20" fillId="2" borderId="28" xfId="1" applyNumberFormat="1" applyFont="1" applyFill="1" applyBorder="1" applyAlignment="1">
      <alignment horizontal="center" vertical="center"/>
    </xf>
    <xf numFmtId="170" fontId="20" fillId="0" borderId="28" xfId="4" applyNumberFormat="1" applyFont="1" applyFill="1" applyBorder="1">
      <alignment horizontal="center" vertical="center"/>
    </xf>
    <xf numFmtId="170" fontId="20" fillId="0" borderId="30" xfId="4" applyNumberFormat="1" applyFont="1" applyFill="1" applyBorder="1">
      <alignment horizontal="center" vertical="center"/>
    </xf>
    <xf numFmtId="173" fontId="20" fillId="0" borderId="5" xfId="0" applyNumberFormat="1" applyFont="1" applyBorder="1">
      <alignment horizontal="center" vertical="center"/>
    </xf>
    <xf numFmtId="173" fontId="20" fillId="12" borderId="0" xfId="4" applyNumberFormat="1" applyFont="1">
      <alignment horizontal="center" vertical="center"/>
    </xf>
    <xf numFmtId="170" fontId="20" fillId="12" borderId="28" xfId="4" applyNumberFormat="1" applyFont="1" applyBorder="1">
      <alignment horizontal="center" vertical="center"/>
    </xf>
    <xf numFmtId="173" fontId="20" fillId="12" borderId="5" xfId="0" applyNumberFormat="1" applyFont="1" applyFill="1" applyBorder="1">
      <alignment horizontal="center" vertical="center"/>
    </xf>
    <xf numFmtId="170" fontId="0" fillId="5" borderId="28" xfId="6" applyNumberFormat="1" applyFont="1" applyFill="1" applyBorder="1" applyAlignment="1">
      <alignment horizontal="center" vertical="center"/>
    </xf>
    <xf numFmtId="170" fontId="29" fillId="0" borderId="0" xfId="1" applyNumberFormat="1" applyFont="1" applyFill="1" applyBorder="1" applyAlignment="1">
      <alignment horizontal="center" vertical="center"/>
    </xf>
    <xf numFmtId="170" fontId="29" fillId="0" borderId="28" xfId="4" applyNumberFormat="1" applyFont="1" applyFill="1" applyBorder="1">
      <alignment horizontal="center" vertical="center"/>
    </xf>
    <xf numFmtId="170" fontId="29" fillId="0" borderId="2" xfId="1" applyNumberFormat="1" applyFont="1" applyFill="1" applyBorder="1" applyAlignment="1">
      <alignment horizontal="center" vertical="center"/>
    </xf>
    <xf numFmtId="170" fontId="29" fillId="0" borderId="30" xfId="4" applyNumberFormat="1" applyFont="1" applyFill="1" applyBorder="1">
      <alignment horizontal="center" vertical="center"/>
    </xf>
    <xf numFmtId="170" fontId="20" fillId="0" borderId="48" xfId="0" applyNumberFormat="1" applyFont="1" applyBorder="1">
      <alignment horizontal="center" vertical="center"/>
    </xf>
    <xf numFmtId="170" fontId="20" fillId="12" borderId="36" xfId="4" applyNumberFormat="1" applyFont="1" applyBorder="1">
      <alignment horizontal="center" vertical="center"/>
    </xf>
    <xf numFmtId="172" fontId="20" fillId="0" borderId="5" xfId="0" applyNumberFormat="1" applyFont="1" applyBorder="1">
      <alignment horizontal="center" vertical="center"/>
    </xf>
    <xf numFmtId="170" fontId="0" fillId="3" borderId="5" xfId="6" applyNumberFormat="1" applyFont="1" applyFill="1" applyBorder="1" applyAlignment="1">
      <alignment horizontal="center" vertical="center"/>
    </xf>
    <xf numFmtId="170" fontId="0" fillId="3" borderId="28" xfId="6" applyNumberFormat="1" applyFont="1" applyFill="1" applyBorder="1" applyAlignment="1">
      <alignment horizontal="center" vertical="center"/>
    </xf>
    <xf numFmtId="170" fontId="21" fillId="18" borderId="39" xfId="2" applyNumberFormat="1" applyFont="1" applyFill="1" applyBorder="1" applyAlignment="1">
      <alignment horizontal="center" vertical="center"/>
    </xf>
    <xf numFmtId="172" fontId="21" fillId="18" borderId="39" xfId="2" applyNumberFormat="1" applyFont="1" applyFill="1" applyBorder="1" applyAlignment="1">
      <alignment horizontal="center" vertical="center"/>
    </xf>
    <xf numFmtId="170" fontId="20" fillId="0" borderId="0" xfId="0" applyNumberFormat="1" applyFont="1" applyAlignment="1">
      <alignment horizontal="left" vertical="center"/>
    </xf>
    <xf numFmtId="170" fontId="20" fillId="2" borderId="0" xfId="0" applyNumberFormat="1" applyFont="1" applyFill="1" applyAlignment="1">
      <alignment horizontal="left" vertical="center"/>
    </xf>
    <xf numFmtId="170" fontId="20" fillId="0" borderId="2" xfId="0" applyNumberFormat="1" applyFont="1" applyBorder="1" applyAlignment="1">
      <alignment horizontal="left" vertical="center"/>
    </xf>
    <xf numFmtId="170" fontId="20" fillId="0" borderId="9" xfId="0" applyNumberFormat="1" applyFont="1" applyBorder="1" applyAlignment="1">
      <alignment horizontal="left" vertical="center"/>
    </xf>
    <xf numFmtId="170" fontId="20" fillId="14" borderId="0" xfId="0" applyNumberFormat="1" applyFont="1" applyFill="1" applyAlignment="1">
      <alignment horizontal="left" vertical="center"/>
    </xf>
    <xf numFmtId="170" fontId="20" fillId="0" borderId="0" xfId="6" applyNumberFormat="1" applyFont="1" applyAlignment="1">
      <alignment horizontal="left" vertical="center"/>
    </xf>
    <xf numFmtId="170" fontId="20" fillId="10" borderId="3" xfId="0" applyNumberFormat="1" applyFont="1" applyFill="1" applyBorder="1" applyAlignment="1">
      <alignment horizontal="left" vertical="center" wrapText="1"/>
    </xf>
    <xf numFmtId="170" fontId="20" fillId="5" borderId="0" xfId="0" applyNumberFormat="1" applyFont="1" applyFill="1" applyAlignment="1">
      <alignment horizontal="left" vertical="center"/>
    </xf>
    <xf numFmtId="170" fontId="29" fillId="0" borderId="0" xfId="0" applyNumberFormat="1" applyFont="1" applyAlignment="1">
      <alignment horizontal="left" vertical="center"/>
    </xf>
    <xf numFmtId="170" fontId="29" fillId="0" borderId="2" xfId="0" applyNumberFormat="1" applyFont="1" applyBorder="1" applyAlignment="1">
      <alignment horizontal="left" vertical="center"/>
    </xf>
    <xf numFmtId="170" fontId="21" fillId="19" borderId="0" xfId="0" applyNumberFormat="1" applyFont="1" applyFill="1" applyAlignment="1">
      <alignment horizontal="left" vertical="center"/>
    </xf>
    <xf numFmtId="170" fontId="20" fillId="10" borderId="40" xfId="0" applyNumberFormat="1" applyFont="1" applyFill="1" applyBorder="1" applyAlignment="1">
      <alignment horizontal="left" vertical="center" wrapText="1"/>
    </xf>
    <xf numFmtId="170" fontId="20" fillId="10" borderId="29" xfId="0" applyNumberFormat="1" applyFont="1" applyFill="1" applyBorder="1" applyAlignment="1">
      <alignment horizontal="left" vertical="center"/>
    </xf>
    <xf numFmtId="170" fontId="20" fillId="0" borderId="27" xfId="0" applyNumberFormat="1" applyFont="1" applyBorder="1" applyAlignment="1">
      <alignment horizontal="left" vertical="center"/>
    </xf>
    <xf numFmtId="170" fontId="20" fillId="2" borderId="27" xfId="0" applyNumberFormat="1" applyFont="1" applyFill="1" applyBorder="1" applyAlignment="1">
      <alignment horizontal="left" vertical="center"/>
    </xf>
    <xf numFmtId="170" fontId="20" fillId="0" borderId="29" xfId="0" applyNumberFormat="1" applyFont="1" applyBorder="1" applyAlignment="1">
      <alignment horizontal="left" vertical="center"/>
    </xf>
    <xf numFmtId="170" fontId="20" fillId="5" borderId="27" xfId="6" applyNumberFormat="1" applyFont="1" applyFill="1" applyBorder="1" applyAlignment="1">
      <alignment horizontal="left" vertical="center"/>
    </xf>
    <xf numFmtId="170" fontId="0" fillId="3" borderId="27" xfId="6" applyNumberFormat="1" applyFont="1" applyFill="1" applyBorder="1" applyAlignment="1">
      <alignment horizontal="left" vertical="center"/>
    </xf>
    <xf numFmtId="170" fontId="20" fillId="0" borderId="27" xfId="3" applyFont="1" applyFill="1" applyBorder="1" applyAlignment="1">
      <alignment horizontal="left" vertical="center"/>
    </xf>
    <xf numFmtId="170" fontId="20" fillId="3" borderId="27" xfId="6" applyNumberFormat="1" applyFont="1" applyFill="1" applyBorder="1" applyAlignment="1">
      <alignment horizontal="left" vertical="center"/>
    </xf>
    <xf numFmtId="170" fontId="20" fillId="10" borderId="27" xfId="0" applyNumberFormat="1" applyFont="1" applyFill="1" applyBorder="1" applyAlignment="1">
      <alignment horizontal="left" vertical="center" wrapText="1"/>
    </xf>
    <xf numFmtId="170" fontId="29" fillId="0" borderId="0" xfId="4" applyNumberFormat="1" applyFont="1" applyFill="1">
      <alignment horizontal="center" vertical="center"/>
    </xf>
    <xf numFmtId="170" fontId="29" fillId="0" borderId="2" xfId="4" applyNumberFormat="1" applyFont="1" applyFill="1" applyBorder="1">
      <alignment horizontal="center" vertical="center"/>
    </xf>
    <xf numFmtId="170" fontId="24" fillId="13" borderId="27" xfId="0" applyNumberFormat="1" applyFont="1" applyFill="1" applyBorder="1">
      <alignment horizontal="center" vertical="center"/>
    </xf>
    <xf numFmtId="170" fontId="24" fillId="13" borderId="4" xfId="0" applyNumberFormat="1" applyFont="1" applyFill="1" applyBorder="1">
      <alignment horizontal="center" vertical="center"/>
    </xf>
    <xf numFmtId="170" fontId="24" fillId="13" borderId="10" xfId="0" applyNumberFormat="1" applyFont="1" applyFill="1" applyBorder="1">
      <alignment horizontal="center" vertical="center"/>
    </xf>
    <xf numFmtId="170" fontId="20" fillId="10" borderId="38" xfId="0" applyNumberFormat="1" applyFont="1" applyFill="1" applyBorder="1" applyAlignment="1">
      <alignment horizontal="center" vertical="center" wrapText="1"/>
    </xf>
    <xf numFmtId="170" fontId="24" fillId="5" borderId="27" xfId="0" applyNumberFormat="1" applyFont="1" applyFill="1" applyBorder="1">
      <alignment horizontal="center" vertical="center"/>
    </xf>
    <xf numFmtId="173" fontId="20" fillId="12" borderId="2" xfId="4" applyNumberFormat="1" applyFont="1" applyBorder="1">
      <alignment horizontal="center" vertical="center"/>
    </xf>
    <xf numFmtId="170" fontId="20" fillId="12" borderId="30" xfId="4" applyNumberFormat="1" applyFont="1" applyBorder="1">
      <alignment horizontal="center" vertical="center"/>
    </xf>
    <xf numFmtId="170" fontId="24" fillId="13" borderId="29" xfId="0" applyNumberFormat="1" applyFont="1" applyFill="1" applyBorder="1">
      <alignment horizontal="center" vertical="center"/>
    </xf>
    <xf numFmtId="192" fontId="29" fillId="0" borderId="2" xfId="4" applyNumberFormat="1" applyFont="1" applyFill="1" applyBorder="1">
      <alignment horizontal="center" vertical="center"/>
    </xf>
    <xf numFmtId="170" fontId="24" fillId="3" borderId="27" xfId="0" applyNumberFormat="1" applyFont="1" applyFill="1" applyBorder="1">
      <alignment horizontal="center" vertical="center"/>
    </xf>
    <xf numFmtId="170" fontId="20" fillId="0" borderId="29" xfId="3" applyFont="1" applyFill="1" applyBorder="1" applyAlignment="1">
      <alignment horizontal="left" vertical="center"/>
    </xf>
    <xf numFmtId="170" fontId="21" fillId="19" borderId="52" xfId="0" applyNumberFormat="1" applyFont="1" applyFill="1" applyBorder="1" applyAlignment="1">
      <alignment vertical="center"/>
    </xf>
    <xf numFmtId="170" fontId="21" fillId="19" borderId="53" xfId="0" applyNumberFormat="1" applyFont="1" applyFill="1" applyBorder="1" applyAlignment="1">
      <alignment vertical="center"/>
    </xf>
    <xf numFmtId="170" fontId="21" fillId="19" borderId="53" xfId="0" applyNumberFormat="1" applyFont="1" applyFill="1" applyBorder="1">
      <alignment horizontal="center" vertical="center"/>
    </xf>
    <xf numFmtId="170" fontId="21" fillId="19" borderId="53" xfId="2" applyNumberFormat="1" applyFont="1" applyFill="1" applyBorder="1" applyAlignment="1">
      <alignment horizontal="center" vertical="center"/>
    </xf>
    <xf numFmtId="170" fontId="21" fillId="19" borderId="53" xfId="2" applyNumberFormat="1" applyFont="1" applyFill="1" applyBorder="1" applyAlignment="1">
      <alignment vertical="center"/>
    </xf>
    <xf numFmtId="170" fontId="21" fillId="19" borderId="52" xfId="2" applyNumberFormat="1" applyFont="1" applyFill="1" applyBorder="1" applyAlignment="1">
      <alignment horizontal="left" vertical="center"/>
    </xf>
    <xf numFmtId="172" fontId="29" fillId="19" borderId="53" xfId="0" applyNumberFormat="1" applyFont="1" applyFill="1" applyBorder="1">
      <alignment horizontal="center" vertical="center"/>
    </xf>
    <xf numFmtId="170" fontId="20" fillId="19" borderId="53" xfId="2" applyNumberFormat="1" applyFont="1" applyFill="1" applyBorder="1" applyAlignment="1">
      <alignment horizontal="left" vertical="center"/>
    </xf>
    <xf numFmtId="174" fontId="21" fillId="19" borderId="56" xfId="2" applyNumberFormat="1" applyFont="1" applyFill="1" applyBorder="1" applyAlignment="1">
      <alignment horizontal="center" vertical="center"/>
    </xf>
    <xf numFmtId="172" fontId="20" fillId="19" borderId="56" xfId="2" applyNumberFormat="1" applyFont="1" applyFill="1" applyBorder="1" applyAlignment="1">
      <alignment horizontal="center" vertical="center"/>
    </xf>
    <xf numFmtId="172" fontId="20" fillId="19" borderId="53" xfId="2" applyNumberFormat="1" applyFont="1" applyFill="1" applyBorder="1" applyAlignment="1">
      <alignment horizontal="center" vertical="center"/>
    </xf>
    <xf numFmtId="170" fontId="20" fillId="19" borderId="53" xfId="2" applyNumberFormat="1" applyFont="1" applyFill="1" applyBorder="1" applyAlignment="1">
      <alignment horizontal="center" vertical="center"/>
    </xf>
    <xf numFmtId="170" fontId="20" fillId="19" borderId="54" xfId="2" applyNumberFormat="1" applyFont="1" applyFill="1" applyBorder="1" applyAlignment="1">
      <alignment horizontal="center" vertical="center"/>
    </xf>
    <xf numFmtId="174" fontId="21" fillId="19" borderId="53" xfId="2" applyNumberFormat="1" applyFont="1" applyFill="1" applyBorder="1" applyAlignment="1">
      <alignment horizontal="center" vertical="center"/>
    </xf>
    <xf numFmtId="170" fontId="68" fillId="0" borderId="0" xfId="0" applyNumberFormat="1" applyFont="1" applyAlignment="1">
      <alignment horizontal="left" vertical="center" indent="1"/>
    </xf>
    <xf numFmtId="170" fontId="24" fillId="0" borderId="4" xfId="0" applyNumberFormat="1" applyFont="1" applyBorder="1">
      <alignment horizontal="center" vertical="center"/>
    </xf>
    <xf numFmtId="174" fontId="29" fillId="0" borderId="0" xfId="1" applyNumberFormat="1" applyFont="1" applyFill="1" applyBorder="1" applyAlignment="1">
      <alignment horizontal="center" vertical="center"/>
    </xf>
    <xf numFmtId="170" fontId="21" fillId="19" borderId="54" xfId="2" applyNumberFormat="1" applyFont="1" applyFill="1" applyBorder="1" applyAlignment="1">
      <alignment vertical="center"/>
    </xf>
    <xf numFmtId="174" fontId="21" fillId="19" borderId="54" xfId="2" applyNumberFormat="1" applyFont="1" applyFill="1" applyBorder="1" applyAlignment="1">
      <alignment horizontal="center" vertical="center"/>
    </xf>
    <xf numFmtId="174" fontId="21" fillId="2" borderId="43" xfId="0" applyNumberFormat="1" applyFont="1" applyFill="1" applyBorder="1" applyAlignment="1">
      <alignment horizontal="centerContinuous" vertical="center" wrapText="1"/>
    </xf>
    <xf numFmtId="172" fontId="20" fillId="10" borderId="40" xfId="0" applyNumberFormat="1" applyFont="1" applyFill="1" applyBorder="1">
      <alignment horizontal="center" vertical="center"/>
    </xf>
    <xf numFmtId="172" fontId="20" fillId="10" borderId="27" xfId="0" applyNumberFormat="1" applyFont="1" applyFill="1" applyBorder="1">
      <alignment horizontal="center" vertical="center"/>
    </xf>
    <xf numFmtId="172" fontId="20" fillId="0" borderId="27" xfId="1" applyNumberFormat="1" applyFont="1" applyFill="1" applyBorder="1" applyAlignment="1">
      <alignment horizontal="center" vertical="center"/>
    </xf>
    <xf numFmtId="172" fontId="20" fillId="2" borderId="27" xfId="1" applyNumberFormat="1" applyFont="1" applyFill="1" applyBorder="1" applyAlignment="1">
      <alignment horizontal="center" vertical="center"/>
    </xf>
    <xf numFmtId="172" fontId="20" fillId="0" borderId="27" xfId="4" applyNumberFormat="1" applyFont="1" applyFill="1" applyBorder="1">
      <alignment horizontal="center" vertical="center"/>
    </xf>
    <xf numFmtId="172" fontId="20" fillId="0" borderId="29" xfId="4" applyNumberFormat="1" applyFont="1" applyFill="1" applyBorder="1">
      <alignment horizontal="center" vertical="center"/>
    </xf>
    <xf numFmtId="172" fontId="20" fillId="12" borderId="27" xfId="4" applyNumberFormat="1" applyFont="1" applyBorder="1">
      <alignment horizontal="center" vertical="center"/>
    </xf>
    <xf numFmtId="172" fontId="0" fillId="5" borderId="27" xfId="6" applyNumberFormat="1" applyFont="1" applyFill="1" applyBorder="1" applyAlignment="1">
      <alignment horizontal="center" vertical="center"/>
    </xf>
    <xf numFmtId="172" fontId="0" fillId="3" borderId="27" xfId="6" applyNumberFormat="1" applyFont="1" applyFill="1" applyBorder="1" applyAlignment="1">
      <alignment horizontal="center" vertical="center"/>
    </xf>
    <xf numFmtId="172" fontId="20" fillId="0" borderId="27" xfId="0" applyNumberFormat="1" applyFont="1" applyBorder="1">
      <alignment horizontal="center" vertical="center"/>
    </xf>
    <xf numFmtId="172" fontId="20" fillId="10" borderId="38" xfId="0" applyNumberFormat="1" applyFont="1" applyFill="1" applyBorder="1">
      <alignment horizontal="center" vertical="center"/>
    </xf>
    <xf numFmtId="172" fontId="20" fillId="10" borderId="29" xfId="0" applyNumberFormat="1" applyFont="1" applyFill="1" applyBorder="1">
      <alignment horizontal="center" vertical="center"/>
    </xf>
    <xf numFmtId="174" fontId="20" fillId="10" borderId="36" xfId="0" applyNumberFormat="1" applyFont="1" applyFill="1" applyBorder="1">
      <alignment horizontal="center" vertical="center"/>
    </xf>
    <xf numFmtId="174" fontId="20" fillId="10" borderId="30" xfId="0" applyNumberFormat="1" applyFont="1" applyFill="1" applyBorder="1">
      <alignment horizontal="center" vertical="center"/>
    </xf>
    <xf numFmtId="174" fontId="20" fillId="10" borderId="43" xfId="0" applyNumberFormat="1" applyFont="1" applyFill="1" applyBorder="1" applyAlignment="1">
      <alignment horizontal="center" vertical="center" wrapText="1"/>
    </xf>
    <xf numFmtId="174" fontId="20" fillId="10" borderId="0" xfId="0" applyNumberFormat="1" applyFont="1" applyFill="1" applyAlignment="1">
      <alignment horizontal="center" vertical="center" wrapText="1"/>
    </xf>
    <xf numFmtId="174" fontId="20" fillId="0" borderId="28" xfId="0" applyNumberFormat="1" applyFont="1" applyBorder="1" applyAlignment="1">
      <alignment horizontal="center" vertical="center" wrapText="1"/>
    </xf>
    <xf numFmtId="174" fontId="20" fillId="0" borderId="0" xfId="0" applyNumberFormat="1" applyFont="1" applyAlignment="1">
      <alignment horizontal="center" vertical="center" wrapText="1"/>
    </xf>
    <xf numFmtId="172" fontId="21" fillId="2" borderId="40" xfId="0" applyNumberFormat="1" applyFont="1" applyFill="1" applyBorder="1" applyAlignment="1">
      <alignment horizontal="centerContinuous" vertical="center" wrapText="1"/>
    </xf>
    <xf numFmtId="170" fontId="20" fillId="10" borderId="27" xfId="0" applyNumberFormat="1" applyFont="1" applyFill="1" applyBorder="1" applyAlignment="1">
      <alignment vertical="center"/>
    </xf>
    <xf numFmtId="170" fontId="20" fillId="19" borderId="53" xfId="2" applyNumberFormat="1" applyFont="1" applyFill="1" applyBorder="1" applyAlignment="1">
      <alignment vertical="center"/>
    </xf>
    <xf numFmtId="170" fontId="20" fillId="10" borderId="38" xfId="0" applyNumberFormat="1" applyFont="1" applyFill="1" applyBorder="1" applyAlignment="1">
      <alignment vertical="center"/>
    </xf>
    <xf numFmtId="170" fontId="20" fillId="0" borderId="2" xfId="3" applyFont="1" applyFill="1" applyBorder="1">
      <alignment horizontal="center" vertical="center"/>
    </xf>
    <xf numFmtId="170" fontId="22" fillId="0" borderId="0" xfId="0" applyNumberFormat="1" applyFont="1">
      <alignment horizontal="center" vertical="center"/>
    </xf>
    <xf numFmtId="170" fontId="21" fillId="2" borderId="26" xfId="0" applyNumberFormat="1" applyFont="1" applyFill="1" applyBorder="1" applyAlignment="1">
      <alignment horizontal="center" vertical="center" wrapText="1"/>
    </xf>
    <xf numFmtId="0" fontId="20" fillId="14" borderId="0" xfId="0" applyFont="1" applyFill="1">
      <alignment horizontal="center" vertical="center"/>
    </xf>
    <xf numFmtId="170" fontId="20" fillId="14" borderId="5" xfId="0" applyNumberFormat="1" applyFont="1" applyFill="1" applyBorder="1">
      <alignment horizontal="center" vertical="center"/>
    </xf>
    <xf numFmtId="170" fontId="20" fillId="14" borderId="28" xfId="4" applyNumberFormat="1" applyFont="1" applyFill="1" applyBorder="1">
      <alignment horizontal="center" vertical="center"/>
    </xf>
    <xf numFmtId="170" fontId="20" fillId="12" borderId="5" xfId="0" applyNumberFormat="1" applyFont="1" applyFill="1" applyBorder="1">
      <alignment horizontal="center" vertical="center"/>
    </xf>
    <xf numFmtId="171" fontId="20" fillId="12" borderId="0" xfId="4" applyNumberFormat="1" applyFont="1">
      <alignment horizontal="center" vertical="center"/>
    </xf>
    <xf numFmtId="170" fontId="20" fillId="11" borderId="5" xfId="0" applyNumberFormat="1" applyFont="1" applyFill="1" applyBorder="1">
      <alignment horizontal="center" vertical="center"/>
    </xf>
    <xf numFmtId="170" fontId="24" fillId="21" borderId="0" xfId="0" applyNumberFormat="1" applyFont="1" applyFill="1">
      <alignment horizontal="center" vertical="center"/>
    </xf>
    <xf numFmtId="193" fontId="20" fillId="0" borderId="0" xfId="4" applyNumberFormat="1" applyFont="1" applyFill="1">
      <alignment horizontal="center" vertical="center"/>
    </xf>
    <xf numFmtId="171" fontId="20" fillId="0" borderId="0" xfId="0" applyNumberFormat="1" applyFont="1">
      <alignment horizontal="center" vertical="center"/>
    </xf>
    <xf numFmtId="172" fontId="20" fillId="10" borderId="40" xfId="0" applyNumberFormat="1" applyFont="1" applyFill="1" applyBorder="1" applyAlignment="1">
      <alignment horizontal="center" vertical="center" wrapText="1"/>
    </xf>
    <xf numFmtId="174" fontId="20" fillId="10" borderId="41" xfId="0" applyNumberFormat="1" applyFont="1" applyFill="1" applyBorder="1" applyAlignment="1">
      <alignment horizontal="center" vertical="center" wrapText="1"/>
    </xf>
    <xf numFmtId="172" fontId="20" fillId="10" borderId="27" xfId="0" applyNumberFormat="1" applyFont="1" applyFill="1" applyBorder="1" applyAlignment="1">
      <alignment horizontal="center" vertical="center" wrapText="1"/>
    </xf>
    <xf numFmtId="174" fontId="20" fillId="10" borderId="28" xfId="0" applyNumberFormat="1" applyFont="1" applyFill="1" applyBorder="1" applyAlignment="1">
      <alignment horizontal="center" vertical="center" wrapText="1"/>
    </xf>
    <xf numFmtId="172" fontId="20" fillId="0" borderId="27" xfId="0" applyNumberFormat="1" applyFont="1" applyBorder="1" applyAlignment="1">
      <alignment horizontal="center" vertical="center" wrapText="1"/>
    </xf>
    <xf numFmtId="171" fontId="20" fillId="0" borderId="0" xfId="6" applyNumberFormat="1" applyFont="1" applyAlignment="1">
      <alignment horizontal="center" vertical="center"/>
    </xf>
    <xf numFmtId="173" fontId="20" fillId="11" borderId="0" xfId="0" applyNumberFormat="1" applyFont="1" applyFill="1">
      <alignment horizontal="center" vertical="center"/>
    </xf>
    <xf numFmtId="173" fontId="20" fillId="11" borderId="2" xfId="0" applyNumberFormat="1" applyFont="1" applyFill="1" applyBorder="1">
      <alignment horizontal="center" vertical="center"/>
    </xf>
    <xf numFmtId="173" fontId="20" fillId="5" borderId="0" xfId="0" applyNumberFormat="1" applyFont="1" applyFill="1">
      <alignment horizontal="center" vertical="center"/>
    </xf>
    <xf numFmtId="167" fontId="20" fillId="11" borderId="0" xfId="0" applyNumberFormat="1" applyFont="1" applyFill="1">
      <alignment horizontal="center" vertical="center"/>
    </xf>
    <xf numFmtId="167" fontId="20" fillId="11" borderId="2" xfId="0" applyNumberFormat="1" applyFont="1" applyFill="1" applyBorder="1">
      <alignment horizontal="center" vertical="center"/>
    </xf>
    <xf numFmtId="0" fontId="20" fillId="0" borderId="2" xfId="0" applyFont="1" applyBorder="1">
      <alignment horizontal="center" vertical="center"/>
    </xf>
    <xf numFmtId="173" fontId="21" fillId="19" borderId="0" xfId="2" applyNumberFormat="1" applyFont="1" applyFill="1" applyBorder="1" applyAlignment="1">
      <alignment horizontal="center" vertical="center"/>
    </xf>
    <xf numFmtId="170" fontId="21" fillId="2" borderId="24" xfId="0" applyNumberFormat="1" applyFont="1" applyFill="1" applyBorder="1" applyAlignment="1">
      <alignment horizontal="center" vertical="center" wrapText="1"/>
    </xf>
    <xf numFmtId="170" fontId="20" fillId="10" borderId="10" xfId="0" applyNumberFormat="1" applyFont="1" applyFill="1" applyBorder="1" applyAlignment="1">
      <alignment horizontal="left" vertical="center" wrapText="1"/>
    </xf>
    <xf numFmtId="170" fontId="20" fillId="10" borderId="4" xfId="0" applyNumberFormat="1" applyFont="1" applyFill="1" applyBorder="1" applyAlignment="1">
      <alignment horizontal="left" vertical="center"/>
    </xf>
    <xf numFmtId="170" fontId="20" fillId="0" borderId="4" xfId="0" applyNumberFormat="1" applyFont="1" applyBorder="1" applyAlignment="1">
      <alignment horizontal="left" vertical="center"/>
    </xf>
    <xf numFmtId="170" fontId="20" fillId="2" borderId="4" xfId="0" applyNumberFormat="1" applyFont="1" applyFill="1" applyBorder="1" applyAlignment="1">
      <alignment horizontal="left" vertical="center"/>
    </xf>
    <xf numFmtId="170" fontId="0" fillId="5" borderId="4" xfId="6" applyNumberFormat="1" applyFont="1" applyFill="1" applyBorder="1" applyAlignment="1">
      <alignment horizontal="left" vertical="center"/>
    </xf>
    <xf numFmtId="170" fontId="0" fillId="3" borderId="4" xfId="6" applyNumberFormat="1" applyFont="1" applyFill="1" applyBorder="1" applyAlignment="1">
      <alignment horizontal="left" vertical="center"/>
    </xf>
    <xf numFmtId="170" fontId="0" fillId="0" borderId="4" xfId="3" applyFont="1" applyFill="1" applyBorder="1" applyAlignment="1">
      <alignment horizontal="left" vertical="center"/>
    </xf>
    <xf numFmtId="170" fontId="0" fillId="0" borderId="9" xfId="3" applyFont="1" applyFill="1" applyBorder="1" applyAlignment="1">
      <alignment horizontal="left" vertical="center"/>
    </xf>
    <xf numFmtId="170" fontId="20" fillId="3" borderId="4" xfId="6" applyNumberFormat="1" applyFont="1" applyFill="1" applyBorder="1" applyAlignment="1">
      <alignment horizontal="left" vertical="center"/>
    </xf>
    <xf numFmtId="170" fontId="21" fillId="19" borderId="57" xfId="2" applyNumberFormat="1" applyFont="1" applyFill="1" applyBorder="1" applyAlignment="1">
      <alignment horizontal="left" vertical="center"/>
    </xf>
    <xf numFmtId="170" fontId="20" fillId="10" borderId="9" xfId="0" applyNumberFormat="1" applyFont="1" applyFill="1" applyBorder="1" applyAlignment="1">
      <alignment horizontal="left" vertical="center"/>
    </xf>
    <xf numFmtId="170" fontId="20" fillId="10" borderId="0" xfId="0" applyNumberFormat="1" applyFont="1" applyFill="1" applyAlignment="1">
      <alignment horizontal="left" vertical="center"/>
    </xf>
    <xf numFmtId="170" fontId="21" fillId="19" borderId="52" xfId="0" applyNumberFormat="1" applyFont="1" applyFill="1" applyBorder="1">
      <alignment horizontal="center" vertical="center"/>
    </xf>
    <xf numFmtId="170" fontId="21" fillId="2" borderId="52" xfId="0" applyNumberFormat="1" applyFont="1" applyFill="1" applyBorder="1" applyAlignment="1">
      <alignment horizontal="left" vertical="center" wrapText="1"/>
    </xf>
    <xf numFmtId="170" fontId="21" fillId="2" borderId="53" xfId="0" applyNumberFormat="1" applyFont="1" applyFill="1" applyBorder="1" applyAlignment="1">
      <alignment horizontal="left" vertical="center" wrapText="1"/>
    </xf>
    <xf numFmtId="170" fontId="21" fillId="2" borderId="53" xfId="0" applyNumberFormat="1" applyFont="1" applyFill="1" applyBorder="1" applyAlignment="1">
      <alignment horizontal="center" vertical="center" wrapText="1"/>
    </xf>
    <xf numFmtId="170" fontId="21" fillId="2" borderId="52" xfId="0" applyNumberFormat="1" applyFont="1" applyFill="1" applyBorder="1" applyAlignment="1">
      <alignment horizontal="centerContinuous" vertical="center" wrapText="1"/>
    </xf>
    <xf numFmtId="170" fontId="21" fillId="2" borderId="53" xfId="0" applyNumberFormat="1" applyFont="1" applyFill="1" applyBorder="1" applyAlignment="1">
      <alignment horizontal="centerContinuous" vertical="center" wrapText="1"/>
    </xf>
    <xf numFmtId="170" fontId="21" fillId="2" borderId="54" xfId="0" applyNumberFormat="1" applyFont="1" applyFill="1" applyBorder="1" applyAlignment="1">
      <alignment horizontal="centerContinuous" vertical="center" wrapText="1"/>
    </xf>
    <xf numFmtId="170" fontId="68" fillId="0" borderId="0" xfId="0" applyNumberFormat="1" applyFont="1">
      <alignment horizontal="center" vertical="center"/>
    </xf>
    <xf numFmtId="170" fontId="68" fillId="0" borderId="0" xfId="0" applyNumberFormat="1" applyFont="1" applyAlignment="1">
      <alignment vertical="center"/>
    </xf>
    <xf numFmtId="170" fontId="68" fillId="0" borderId="11" xfId="0" applyNumberFormat="1" applyFont="1" applyBorder="1" applyAlignment="1">
      <alignment vertical="center"/>
    </xf>
    <xf numFmtId="170" fontId="68" fillId="0" borderId="5" xfId="0" applyNumberFormat="1" applyFont="1" applyBorder="1" applyAlignment="1">
      <alignment vertical="center"/>
    </xf>
    <xf numFmtId="170" fontId="68" fillId="0" borderId="28" xfId="0" applyNumberFormat="1" applyFont="1" applyBorder="1" applyAlignment="1">
      <alignment vertical="center"/>
    </xf>
    <xf numFmtId="172" fontId="68" fillId="0" borderId="27" xfId="0" applyNumberFormat="1" applyFont="1" applyBorder="1">
      <alignment horizontal="center" vertical="center"/>
    </xf>
    <xf numFmtId="174" fontId="68" fillId="0" borderId="0" xfId="0" applyNumberFormat="1" applyFont="1">
      <alignment horizontal="center" vertical="center"/>
    </xf>
    <xf numFmtId="174" fontId="68" fillId="0" borderId="28" xfId="0" applyNumberFormat="1" applyFont="1" applyBorder="1">
      <alignment horizontal="center" vertical="center"/>
    </xf>
    <xf numFmtId="170" fontId="68" fillId="14" borderId="0" xfId="0" applyNumberFormat="1" applyFont="1" applyFill="1" applyAlignment="1">
      <alignment vertical="center"/>
    </xf>
    <xf numFmtId="170" fontId="20" fillId="13" borderId="0" xfId="0" applyNumberFormat="1" applyFont="1" applyFill="1">
      <alignment horizontal="center" vertical="center"/>
    </xf>
    <xf numFmtId="170" fontId="68" fillId="0" borderId="27" xfId="0" applyNumberFormat="1" applyFont="1" applyBorder="1" applyAlignment="1">
      <alignment vertical="center"/>
    </xf>
    <xf numFmtId="170" fontId="68" fillId="14" borderId="0" xfId="0" applyNumberFormat="1" applyFont="1" applyFill="1" applyAlignment="1">
      <alignment horizontal="left" vertical="center"/>
    </xf>
    <xf numFmtId="170" fontId="68" fillId="14" borderId="0" xfId="4" applyNumberFormat="1" applyFont="1" applyFill="1">
      <alignment horizontal="center" vertical="center"/>
    </xf>
    <xf numFmtId="170" fontId="68" fillId="14" borderId="0" xfId="0" applyNumberFormat="1" applyFont="1" applyFill="1">
      <alignment horizontal="center" vertical="center"/>
    </xf>
    <xf numFmtId="174" fontId="68" fillId="14" borderId="11" xfId="0" applyNumberFormat="1" applyFont="1" applyFill="1" applyBorder="1">
      <alignment horizontal="center" vertical="center"/>
    </xf>
    <xf numFmtId="0" fontId="68" fillId="14" borderId="0" xfId="0" applyFont="1" applyFill="1">
      <alignment horizontal="center" vertical="center"/>
    </xf>
    <xf numFmtId="170" fontId="68" fillId="14" borderId="5" xfId="0" applyNumberFormat="1" applyFont="1" applyFill="1" applyBorder="1">
      <alignment horizontal="center" vertical="center"/>
    </xf>
    <xf numFmtId="170" fontId="68" fillId="14" borderId="28" xfId="4" applyNumberFormat="1" applyFont="1" applyFill="1" applyBorder="1">
      <alignment horizontal="center" vertical="center"/>
    </xf>
    <xf numFmtId="170" fontId="29" fillId="19" borderId="53" xfId="0" applyNumberFormat="1" applyFont="1" applyFill="1" applyBorder="1">
      <alignment horizontal="center" vertical="center"/>
    </xf>
    <xf numFmtId="174" fontId="20" fillId="19" borderId="53" xfId="2" applyNumberFormat="1" applyFont="1" applyFill="1" applyBorder="1" applyAlignment="1">
      <alignment horizontal="center" vertical="center"/>
    </xf>
    <xf numFmtId="170" fontId="20" fillId="19" borderId="52" xfId="0" applyNumberFormat="1" applyFont="1" applyFill="1" applyBorder="1">
      <alignment horizontal="center" vertical="center"/>
    </xf>
    <xf numFmtId="170" fontId="20" fillId="19" borderId="53" xfId="0" applyNumberFormat="1" applyFont="1" applyFill="1" applyBorder="1">
      <alignment horizontal="center" vertical="center"/>
    </xf>
    <xf numFmtId="170" fontId="21" fillId="5" borderId="13" xfId="6" applyNumberFormat="1" applyFont="1" applyFill="1" applyBorder="1" applyAlignment="1">
      <alignment horizontal="center" vertical="center"/>
    </xf>
    <xf numFmtId="170" fontId="21" fillId="5" borderId="13" xfId="6" applyNumberFormat="1" applyFont="1" applyFill="1" applyBorder="1" applyAlignment="1">
      <alignment vertical="center"/>
    </xf>
    <xf numFmtId="170" fontId="21" fillId="5" borderId="13" xfId="6" applyNumberFormat="1" applyFont="1" applyFill="1" applyBorder="1" applyAlignment="1">
      <alignment horizontal="left" vertical="center"/>
    </xf>
    <xf numFmtId="172" fontId="21" fillId="5" borderId="13" xfId="6" applyNumberFormat="1" applyFont="1" applyFill="1" applyBorder="1" applyAlignment="1">
      <alignment horizontal="center" vertical="center"/>
    </xf>
    <xf numFmtId="170" fontId="21" fillId="5" borderId="13" xfId="0" applyNumberFormat="1" applyFont="1" applyFill="1" applyBorder="1" applyAlignment="1">
      <alignment horizontal="left" vertical="center"/>
    </xf>
    <xf numFmtId="171" fontId="21" fillId="5" borderId="13" xfId="6" applyNumberFormat="1" applyFont="1" applyFill="1" applyBorder="1" applyAlignment="1">
      <alignment horizontal="center" vertical="center"/>
    </xf>
    <xf numFmtId="0" fontId="20" fillId="5" borderId="13" xfId="0" applyFont="1" applyFill="1" applyBorder="1">
      <alignment horizontal="center" vertical="center"/>
    </xf>
    <xf numFmtId="174" fontId="20" fillId="5" borderId="13" xfId="0" applyNumberFormat="1" applyFont="1" applyFill="1" applyBorder="1">
      <alignment horizontal="center" vertical="center"/>
    </xf>
    <xf numFmtId="170" fontId="21" fillId="5" borderId="3" xfId="6" applyNumberFormat="1" applyFont="1" applyFill="1" applyBorder="1" applyAlignment="1">
      <alignment horizontal="center" vertical="center"/>
    </xf>
    <xf numFmtId="170" fontId="21" fillId="5" borderId="3" xfId="6" applyNumberFormat="1" applyFont="1" applyFill="1" applyBorder="1" applyAlignment="1">
      <alignment vertical="center"/>
    </xf>
    <xf numFmtId="170" fontId="21" fillId="5" borderId="3" xfId="6" applyNumberFormat="1" applyFont="1" applyFill="1" applyBorder="1" applyAlignment="1">
      <alignment horizontal="left" vertical="center"/>
    </xf>
    <xf numFmtId="172" fontId="21" fillId="5" borderId="3" xfId="6" applyNumberFormat="1" applyFont="1" applyFill="1" applyBorder="1" applyAlignment="1">
      <alignment horizontal="center" vertical="center"/>
    </xf>
    <xf numFmtId="170" fontId="21" fillId="5" borderId="3" xfId="0" applyNumberFormat="1" applyFont="1" applyFill="1" applyBorder="1" applyAlignment="1">
      <alignment horizontal="left" vertical="center"/>
    </xf>
    <xf numFmtId="0" fontId="20" fillId="5" borderId="3" xfId="0" applyFont="1" applyFill="1" applyBorder="1">
      <alignment horizontal="center" vertical="center"/>
    </xf>
    <xf numFmtId="171" fontId="21" fillId="5" borderId="3" xfId="6" applyNumberFormat="1" applyFont="1" applyFill="1" applyBorder="1" applyAlignment="1">
      <alignment horizontal="center" vertical="center"/>
    </xf>
    <xf numFmtId="174" fontId="20" fillId="5" borderId="3" xfId="0" applyNumberFormat="1" applyFont="1" applyFill="1" applyBorder="1">
      <alignment horizontal="center" vertical="center"/>
    </xf>
    <xf numFmtId="170" fontId="21" fillId="3" borderId="52" xfId="0" applyNumberFormat="1" applyFont="1" applyFill="1" applyBorder="1" applyAlignment="1">
      <alignment vertical="center"/>
    </xf>
    <xf numFmtId="170" fontId="21" fillId="3" borderId="53" xfId="0" applyNumberFormat="1" applyFont="1" applyFill="1" applyBorder="1">
      <alignment horizontal="center" vertical="center"/>
    </xf>
    <xf numFmtId="170" fontId="21" fillId="3" borderId="53" xfId="2" applyNumberFormat="1" applyFont="1" applyFill="1" applyBorder="1" applyAlignment="1">
      <alignment vertical="center"/>
    </xf>
    <xf numFmtId="170" fontId="21" fillId="3" borderId="53" xfId="2" applyNumberFormat="1" applyFont="1" applyFill="1" applyBorder="1" applyAlignment="1">
      <alignment horizontal="left" vertical="center"/>
    </xf>
    <xf numFmtId="170" fontId="21" fillId="3" borderId="53" xfId="2" applyNumberFormat="1" applyFont="1" applyFill="1" applyBorder="1" applyAlignment="1">
      <alignment horizontal="center" vertical="center"/>
    </xf>
    <xf numFmtId="172" fontId="21" fillId="3" borderId="53" xfId="2" applyNumberFormat="1" applyFont="1" applyFill="1" applyBorder="1" applyAlignment="1">
      <alignment horizontal="center" vertical="center"/>
    </xf>
    <xf numFmtId="0" fontId="20" fillId="3" borderId="53" xfId="0" applyFont="1" applyFill="1" applyBorder="1">
      <alignment horizontal="center" vertical="center"/>
    </xf>
    <xf numFmtId="171" fontId="21" fillId="3" borderId="53" xfId="2" applyNumberFormat="1" applyFont="1" applyFill="1" applyBorder="1" applyAlignment="1">
      <alignment horizontal="center" vertical="center"/>
    </xf>
    <xf numFmtId="174" fontId="4" fillId="3" borderId="53" xfId="17" applyNumberFormat="1" applyFill="1" applyBorder="1" applyAlignment="1">
      <alignment horizontal="center" vertical="center"/>
    </xf>
    <xf numFmtId="174" fontId="4" fillId="3" borderId="54" xfId="17" applyNumberFormat="1" applyFill="1" applyBorder="1" applyAlignment="1">
      <alignment horizontal="center" vertical="center"/>
    </xf>
    <xf numFmtId="170" fontId="20" fillId="10" borderId="43" xfId="0" applyNumberFormat="1" applyFont="1" applyFill="1" applyBorder="1" applyAlignment="1">
      <alignment horizontal="left" vertical="center"/>
    </xf>
    <xf numFmtId="172" fontId="20" fillId="10" borderId="43" xfId="0" applyNumberFormat="1" applyFont="1" applyFill="1" applyBorder="1">
      <alignment horizontal="center" vertical="center"/>
    </xf>
    <xf numFmtId="170" fontId="20" fillId="0" borderId="27" xfId="6" applyNumberFormat="1" applyFont="1" applyBorder="1" applyAlignment="1">
      <alignment horizontal="left" vertical="center" indent="2"/>
    </xf>
    <xf numFmtId="170" fontId="21" fillId="5" borderId="50" xfId="6" applyNumberFormat="1" applyFont="1" applyFill="1" applyBorder="1" applyAlignment="1">
      <alignment horizontal="left" vertical="center" indent="1"/>
    </xf>
    <xf numFmtId="174" fontId="20" fillId="5" borderId="51" xfId="0" applyNumberFormat="1" applyFont="1" applyFill="1" applyBorder="1">
      <alignment horizontal="center" vertical="center"/>
    </xf>
    <xf numFmtId="170" fontId="21" fillId="5" borderId="38" xfId="6" applyNumberFormat="1" applyFont="1" applyFill="1" applyBorder="1" applyAlignment="1">
      <alignment horizontal="left" vertical="center" indent="1"/>
    </xf>
    <xf numFmtId="174" fontId="20" fillId="5" borderId="36" xfId="0" applyNumberFormat="1" applyFont="1" applyFill="1" applyBorder="1">
      <alignment horizontal="center" vertical="center"/>
    </xf>
    <xf numFmtId="170" fontId="20" fillId="10" borderId="44" xfId="0" applyNumberFormat="1" applyFont="1" applyFill="1" applyBorder="1">
      <alignment horizontal="center" vertical="center"/>
    </xf>
    <xf numFmtId="170" fontId="21" fillId="5" borderId="13" xfId="0" applyNumberFormat="1" applyFont="1" applyFill="1" applyBorder="1">
      <alignment horizontal="center" vertical="center"/>
    </xf>
    <xf numFmtId="170" fontId="21" fillId="5" borderId="3" xfId="0" applyNumberFormat="1" applyFont="1" applyFill="1" applyBorder="1">
      <alignment horizontal="center" vertical="center"/>
    </xf>
    <xf numFmtId="170" fontId="20" fillId="10" borderId="2" xfId="0" applyNumberFormat="1" applyFont="1" applyFill="1" applyBorder="1" applyAlignment="1">
      <alignment horizontal="centerContinuous" vertical="center" wrapText="1"/>
    </xf>
    <xf numFmtId="170" fontId="0" fillId="5" borderId="27" xfId="6" applyNumberFormat="1" applyFont="1" applyFill="1" applyBorder="1" applyAlignment="1">
      <alignment horizontal="center" vertical="center"/>
    </xf>
    <xf numFmtId="171" fontId="20" fillId="0" borderId="27" xfId="0" applyNumberFormat="1" applyFont="1" applyBorder="1">
      <alignment horizontal="center" vertical="center"/>
    </xf>
    <xf numFmtId="170" fontId="20" fillId="3" borderId="58" xfId="0" applyNumberFormat="1" applyFont="1" applyFill="1" applyBorder="1">
      <alignment horizontal="center" vertical="center"/>
    </xf>
    <xf numFmtId="170" fontId="20" fillId="3" borderId="59" xfId="0" applyNumberFormat="1" applyFont="1" applyFill="1" applyBorder="1">
      <alignment horizontal="center" vertical="center"/>
    </xf>
    <xf numFmtId="170" fontId="20" fillId="0" borderId="27" xfId="4" applyNumberFormat="1" applyFont="1" applyFill="1" applyBorder="1">
      <alignment horizontal="center" vertical="center"/>
    </xf>
    <xf numFmtId="170" fontId="20" fillId="0" borderId="29" xfId="4" applyNumberFormat="1" applyFont="1" applyFill="1" applyBorder="1">
      <alignment horizontal="center" vertical="center"/>
    </xf>
    <xf numFmtId="170" fontId="20" fillId="10" borderId="42" xfId="0" applyNumberFormat="1" applyFont="1" applyFill="1" applyBorder="1" applyAlignment="1">
      <alignment horizontal="center" vertical="center" wrapText="1"/>
    </xf>
    <xf numFmtId="170" fontId="20" fillId="0" borderId="4" xfId="4" applyNumberFormat="1" applyFont="1" applyFill="1" applyBorder="1">
      <alignment horizontal="center" vertical="center"/>
    </xf>
    <xf numFmtId="170" fontId="20" fillId="0" borderId="9" xfId="4" applyNumberFormat="1" applyFont="1" applyFill="1" applyBorder="1">
      <alignment horizontal="center" vertical="center"/>
    </xf>
    <xf numFmtId="170" fontId="24" fillId="13" borderId="9" xfId="0" applyNumberFormat="1" applyFont="1" applyFill="1" applyBorder="1">
      <alignment horizontal="center" vertical="center"/>
    </xf>
    <xf numFmtId="170" fontId="29" fillId="0" borderId="4" xfId="4" applyNumberFormat="1" applyFont="1" applyFill="1" applyBorder="1">
      <alignment horizontal="center" vertical="center"/>
    </xf>
    <xf numFmtId="170" fontId="29" fillId="0" borderId="9" xfId="4" applyNumberFormat="1" applyFont="1" applyFill="1" applyBorder="1">
      <alignment horizontal="center" vertical="center"/>
    </xf>
    <xf numFmtId="170" fontId="24" fillId="5" borderId="4" xfId="0" applyNumberFormat="1" applyFont="1" applyFill="1" applyBorder="1">
      <alignment horizontal="center" vertical="center"/>
    </xf>
    <xf numFmtId="170" fontId="24" fillId="3" borderId="4" xfId="0" applyNumberFormat="1" applyFont="1" applyFill="1" applyBorder="1">
      <alignment horizontal="center" vertical="center"/>
    </xf>
    <xf numFmtId="170" fontId="20" fillId="19" borderId="57" xfId="2" applyNumberFormat="1" applyFont="1" applyFill="1" applyBorder="1" applyAlignment="1">
      <alignment horizontal="center" vertical="center"/>
    </xf>
    <xf numFmtId="170" fontId="68" fillId="14" borderId="4" xfId="4" applyNumberFormat="1" applyFont="1" applyFill="1" applyBorder="1">
      <alignment horizontal="center" vertical="center"/>
    </xf>
    <xf numFmtId="174" fontId="68" fillId="14" borderId="5" xfId="0" applyNumberFormat="1" applyFont="1" applyFill="1" applyBorder="1">
      <alignment horizontal="center" vertical="center"/>
    </xf>
    <xf numFmtId="170" fontId="20" fillId="27" borderId="4" xfId="0" applyNumberFormat="1" applyFont="1" applyFill="1" applyBorder="1">
      <alignment horizontal="center" vertical="center"/>
    </xf>
    <xf numFmtId="174" fontId="20" fillId="13" borderId="5" xfId="1" applyNumberFormat="1" applyFont="1" applyFill="1" applyBorder="1" applyAlignment="1">
      <alignment horizontal="center" vertical="center"/>
    </xf>
    <xf numFmtId="170" fontId="24" fillId="27" borderId="4" xfId="0" applyNumberFormat="1" applyFont="1" applyFill="1" applyBorder="1">
      <alignment horizontal="center" vertical="center"/>
    </xf>
    <xf numFmtId="174" fontId="20" fillId="14" borderId="5" xfId="0" applyNumberFormat="1" applyFont="1" applyFill="1" applyBorder="1">
      <alignment horizontal="center" vertical="center"/>
    </xf>
    <xf numFmtId="170" fontId="24" fillId="27" borderId="49" xfId="0" applyNumberFormat="1" applyFont="1" applyFill="1" applyBorder="1">
      <alignment horizontal="center" vertical="center"/>
    </xf>
    <xf numFmtId="171" fontId="20" fillId="0" borderId="4" xfId="0" applyNumberFormat="1" applyFont="1" applyBorder="1">
      <alignment horizontal="center" vertical="center"/>
    </xf>
    <xf numFmtId="170" fontId="20" fillId="10" borderId="38" xfId="0" applyNumberFormat="1" applyFont="1" applyFill="1" applyBorder="1" applyAlignment="1">
      <alignment horizontal="centerContinuous" vertical="center" wrapText="1"/>
    </xf>
    <xf numFmtId="170" fontId="20" fillId="10" borderId="29" xfId="0" applyNumberFormat="1" applyFont="1" applyFill="1" applyBorder="1" applyAlignment="1">
      <alignment horizontal="centerContinuous" vertical="center" wrapText="1"/>
    </xf>
    <xf numFmtId="0" fontId="20" fillId="0" borderId="28" xfId="0" applyFont="1" applyBorder="1">
      <alignment horizontal="center" vertical="center"/>
    </xf>
    <xf numFmtId="170" fontId="20" fillId="3" borderId="60" xfId="0" applyNumberFormat="1" applyFont="1" applyFill="1" applyBorder="1">
      <alignment horizontal="center" vertical="center"/>
    </xf>
    <xf numFmtId="170" fontId="20" fillId="10" borderId="36" xfId="0" applyNumberFormat="1" applyFont="1" applyFill="1" applyBorder="1" applyAlignment="1">
      <alignment horizontal="centerContinuous" vertical="center" wrapText="1"/>
    </xf>
    <xf numFmtId="170" fontId="20" fillId="10" borderId="30" xfId="0" applyNumberFormat="1" applyFont="1" applyFill="1" applyBorder="1" applyAlignment="1">
      <alignment horizontal="centerContinuous" vertical="center" wrapText="1"/>
    </xf>
    <xf numFmtId="170" fontId="20" fillId="5" borderId="28" xfId="0" applyNumberFormat="1" applyFont="1" applyFill="1" applyBorder="1">
      <alignment horizontal="center" vertical="center"/>
    </xf>
    <xf numFmtId="170" fontId="20" fillId="3" borderId="59" xfId="0" applyNumberFormat="1" applyFont="1" applyFill="1" applyBorder="1" applyAlignment="1">
      <alignment horizontal="left" vertical="center"/>
    </xf>
    <xf numFmtId="170" fontId="20" fillId="10" borderId="29" xfId="0" applyNumberFormat="1" applyFont="1" applyFill="1" applyBorder="1" applyAlignment="1">
      <alignment horizontal="center" vertical="center" wrapText="1"/>
    </xf>
    <xf numFmtId="170" fontId="20" fillId="10" borderId="30" xfId="0" applyNumberFormat="1" applyFont="1" applyFill="1" applyBorder="1" applyAlignment="1">
      <alignment horizontal="left" vertical="center" wrapText="1"/>
    </xf>
    <xf numFmtId="175" fontId="20" fillId="0" borderId="27" xfId="0" applyNumberFormat="1" applyFont="1" applyBorder="1">
      <alignment horizontal="center" vertical="center"/>
    </xf>
    <xf numFmtId="175" fontId="20" fillId="0" borderId="28" xfId="0" applyNumberFormat="1" applyFont="1" applyBorder="1" applyAlignment="1">
      <alignment horizontal="left" vertical="center"/>
    </xf>
    <xf numFmtId="9" fontId="20" fillId="11" borderId="27" xfId="1" applyFont="1" applyFill="1" applyBorder="1" applyAlignment="1">
      <alignment horizontal="center" vertical="center"/>
    </xf>
    <xf numFmtId="9" fontId="20" fillId="11" borderId="29" xfId="1" applyFont="1" applyFill="1" applyBorder="1" applyAlignment="1">
      <alignment horizontal="center" vertical="center"/>
    </xf>
    <xf numFmtId="170" fontId="0" fillId="5" borderId="28" xfId="6" applyNumberFormat="1" applyFont="1" applyFill="1" applyBorder="1" applyAlignment="1">
      <alignment horizontal="left" vertical="center"/>
    </xf>
    <xf numFmtId="170" fontId="20" fillId="0" borderId="28" xfId="0" applyNumberFormat="1" applyFont="1" applyBorder="1" applyAlignment="1">
      <alignment horizontal="left" vertical="center"/>
    </xf>
    <xf numFmtId="170" fontId="20" fillId="0" borderId="30" xfId="0" applyNumberFormat="1" applyFont="1" applyBorder="1" applyAlignment="1">
      <alignment horizontal="left" vertical="center"/>
    </xf>
    <xf numFmtId="170" fontId="20" fillId="3" borderId="46" xfId="0" applyNumberFormat="1" applyFont="1" applyFill="1" applyBorder="1" applyAlignment="1">
      <alignment vertical="center"/>
    </xf>
    <xf numFmtId="170" fontId="20" fillId="3" borderId="60" xfId="0" applyNumberFormat="1" applyFont="1" applyFill="1" applyBorder="1" applyAlignment="1">
      <alignment horizontal="left" vertical="center"/>
    </xf>
    <xf numFmtId="170" fontId="20" fillId="10" borderId="30" xfId="0" applyNumberFormat="1" applyFont="1" applyFill="1" applyBorder="1" applyAlignment="1">
      <alignment horizontal="center" vertical="center" wrapText="1"/>
    </xf>
    <xf numFmtId="175" fontId="20" fillId="0" borderId="28" xfId="0" applyNumberFormat="1" applyFont="1" applyBorder="1">
      <alignment horizontal="center" vertical="center"/>
    </xf>
    <xf numFmtId="0" fontId="20" fillId="11" borderId="27" xfId="0" applyFont="1" applyFill="1" applyBorder="1">
      <alignment horizontal="center" vertical="center"/>
    </xf>
    <xf numFmtId="0" fontId="20" fillId="11" borderId="29" xfId="0" applyFont="1" applyFill="1" applyBorder="1">
      <alignment horizontal="center" vertical="center"/>
    </xf>
    <xf numFmtId="170" fontId="20" fillId="3" borderId="58" xfId="0" applyNumberFormat="1" applyFont="1" applyFill="1" applyBorder="1" applyAlignment="1">
      <alignment vertical="center"/>
    </xf>
    <xf numFmtId="170" fontId="20" fillId="3" borderId="60" xfId="0" applyNumberFormat="1" applyFont="1" applyFill="1" applyBorder="1" applyAlignment="1">
      <alignment vertical="center"/>
    </xf>
    <xf numFmtId="1" fontId="20" fillId="0" borderId="27" xfId="0" applyNumberFormat="1" applyFont="1" applyBorder="1" applyAlignment="1">
      <alignment vertical="center"/>
    </xf>
    <xf numFmtId="175" fontId="20" fillId="0" borderId="28" xfId="0" applyNumberFormat="1" applyFont="1" applyBorder="1" applyAlignment="1">
      <alignment vertical="center"/>
    </xf>
    <xf numFmtId="175" fontId="20" fillId="0" borderId="30" xfId="0" applyNumberFormat="1" applyFont="1" applyBorder="1" applyAlignment="1">
      <alignment vertical="center"/>
    </xf>
    <xf numFmtId="170" fontId="0" fillId="5" borderId="27" xfId="6" applyNumberFormat="1" applyFont="1" applyFill="1" applyBorder="1" applyAlignment="1">
      <alignment vertical="center"/>
    </xf>
    <xf numFmtId="171" fontId="0" fillId="5" borderId="28" xfId="6" applyNumberFormat="1" applyFont="1" applyFill="1" applyBorder="1" applyAlignment="1">
      <alignment vertical="center"/>
    </xf>
    <xf numFmtId="171" fontId="20" fillId="0" borderId="28" xfId="0" applyNumberFormat="1" applyFont="1" applyBorder="1" applyAlignment="1">
      <alignment vertical="center"/>
    </xf>
    <xf numFmtId="1" fontId="20" fillId="0" borderId="29" xfId="0" applyNumberFormat="1" applyFont="1" applyBorder="1" applyAlignment="1">
      <alignment vertical="center"/>
    </xf>
    <xf numFmtId="171" fontId="20" fillId="0" borderId="30" xfId="0" applyNumberFormat="1" applyFont="1" applyBorder="1" applyAlignment="1">
      <alignment vertical="center"/>
    </xf>
    <xf numFmtId="170" fontId="20" fillId="3" borderId="59" xfId="0" applyNumberFormat="1" applyFont="1" applyFill="1" applyBorder="1" applyAlignment="1">
      <alignment vertical="center"/>
    </xf>
    <xf numFmtId="170" fontId="21" fillId="2" borderId="24" xfId="0" applyNumberFormat="1" applyFont="1" applyFill="1" applyBorder="1" applyAlignment="1">
      <alignment vertical="center"/>
    </xf>
    <xf numFmtId="170" fontId="20" fillId="5" borderId="27" xfId="0" applyNumberFormat="1" applyFont="1" applyFill="1" applyBorder="1" applyAlignment="1">
      <alignment vertical="center"/>
    </xf>
    <xf numFmtId="208" fontId="20" fillId="10" borderId="27" xfId="0" applyNumberFormat="1" applyFont="1" applyFill="1" applyBorder="1" applyAlignment="1">
      <alignment horizontal="center" vertical="center" wrapText="1"/>
    </xf>
    <xf numFmtId="173" fontId="20" fillId="0" borderId="27" xfId="0" applyNumberFormat="1" applyFont="1" applyBorder="1">
      <alignment horizontal="center" vertical="center"/>
    </xf>
    <xf numFmtId="173" fontId="20" fillId="0" borderId="29" xfId="0" applyNumberFormat="1" applyFont="1" applyBorder="1">
      <alignment horizontal="center" vertical="center"/>
    </xf>
    <xf numFmtId="173" fontId="0" fillId="5" borderId="27" xfId="6" applyNumberFormat="1" applyFont="1" applyFill="1" applyBorder="1" applyAlignment="1">
      <alignment horizontal="center" vertical="center"/>
    </xf>
    <xf numFmtId="208" fontId="20" fillId="0" borderId="27" xfId="0" applyNumberFormat="1" applyFont="1" applyBorder="1" applyAlignment="1">
      <alignment vertical="center"/>
    </xf>
    <xf numFmtId="173" fontId="20" fillId="3" borderId="58" xfId="0" applyNumberFormat="1" applyFont="1" applyFill="1" applyBorder="1">
      <alignment horizontal="center" vertical="center"/>
    </xf>
    <xf numFmtId="174" fontId="20" fillId="3" borderId="59" xfId="0" applyNumberFormat="1" applyFont="1" applyFill="1" applyBorder="1">
      <alignment horizontal="center" vertical="center"/>
    </xf>
    <xf numFmtId="172" fontId="21" fillId="2" borderId="24" xfId="0" applyNumberFormat="1" applyFont="1" applyFill="1" applyBorder="1" applyAlignment="1">
      <alignment horizontal="centerContinuous" vertical="center" wrapText="1"/>
    </xf>
    <xf numFmtId="174" fontId="21" fillId="2" borderId="25" xfId="0" applyNumberFormat="1" applyFont="1" applyFill="1" applyBorder="1" applyAlignment="1">
      <alignment horizontal="centerContinuous" vertical="center" wrapText="1"/>
    </xf>
    <xf numFmtId="187" fontId="20" fillId="12" borderId="0" xfId="0" applyNumberFormat="1" applyFont="1" applyFill="1">
      <alignment horizontal="center" vertical="center"/>
    </xf>
    <xf numFmtId="166" fontId="20" fillId="0" borderId="4" xfId="4" applyNumberFormat="1" applyFont="1" applyFill="1" applyBorder="1">
      <alignment horizontal="center" vertical="center"/>
    </xf>
    <xf numFmtId="170" fontId="20" fillId="3" borderId="3" xfId="0" applyNumberFormat="1" applyFont="1" applyFill="1" applyBorder="1" applyAlignment="1">
      <alignment vertical="center"/>
    </xf>
    <xf numFmtId="170" fontId="20" fillId="3" borderId="3" xfId="0" applyNumberFormat="1" applyFont="1" applyFill="1" applyBorder="1">
      <alignment horizontal="center" vertical="center"/>
    </xf>
    <xf numFmtId="170" fontId="20" fillId="3" borderId="31" xfId="0" applyNumberFormat="1" applyFont="1" applyFill="1" applyBorder="1">
      <alignment horizontal="center" vertical="center"/>
    </xf>
    <xf numFmtId="170" fontId="20" fillId="3" borderId="32" xfId="0" applyNumberFormat="1" applyFont="1" applyFill="1" applyBorder="1">
      <alignment horizontal="center" vertical="center"/>
    </xf>
    <xf numFmtId="170" fontId="20" fillId="3" borderId="38" xfId="0" applyNumberFormat="1" applyFont="1" applyFill="1" applyBorder="1">
      <alignment horizontal="center" vertical="center"/>
    </xf>
    <xf numFmtId="0" fontId="20" fillId="0" borderId="27" xfId="0" applyFont="1" applyBorder="1" applyAlignment="1">
      <alignment vertical="center"/>
    </xf>
    <xf numFmtId="0" fontId="20" fillId="0" borderId="28" xfId="0" applyFont="1" applyBorder="1" applyAlignment="1">
      <alignment vertical="center"/>
    </xf>
    <xf numFmtId="170" fontId="20" fillId="3" borderId="36" xfId="0" applyNumberFormat="1" applyFont="1" applyFill="1" applyBorder="1">
      <alignment horizontal="center" vertical="center"/>
    </xf>
    <xf numFmtId="0" fontId="20" fillId="0" borderId="27" xfId="0" applyFont="1" applyBorder="1">
      <alignment horizontal="center" vertical="center"/>
    </xf>
    <xf numFmtId="170" fontId="20" fillId="3" borderId="33" xfId="0" applyNumberFormat="1" applyFont="1" applyFill="1" applyBorder="1">
      <alignment horizontal="center" vertical="center"/>
    </xf>
    <xf numFmtId="170" fontId="20" fillId="3" borderId="38" xfId="0" applyNumberFormat="1" applyFont="1" applyFill="1" applyBorder="1" applyAlignment="1">
      <alignment horizontal="left" vertical="center"/>
    </xf>
    <xf numFmtId="170" fontId="20" fillId="3" borderId="31" xfId="0" applyNumberFormat="1" applyFont="1" applyFill="1" applyBorder="1" applyAlignment="1">
      <alignment horizontal="left" vertical="center"/>
    </xf>
    <xf numFmtId="170" fontId="20" fillId="3" borderId="38" xfId="0" applyNumberFormat="1" applyFont="1" applyFill="1" applyBorder="1" applyAlignment="1">
      <alignment vertical="center"/>
    </xf>
    <xf numFmtId="170" fontId="20" fillId="3" borderId="36" xfId="0" applyNumberFormat="1" applyFont="1" applyFill="1" applyBorder="1" applyAlignment="1">
      <alignment vertical="center"/>
    </xf>
    <xf numFmtId="170" fontId="20" fillId="3" borderId="31" xfId="0" applyNumberFormat="1" applyFont="1" applyFill="1" applyBorder="1" applyAlignment="1">
      <alignment vertical="center"/>
    </xf>
    <xf numFmtId="170" fontId="20" fillId="3" borderId="32" xfId="0" applyNumberFormat="1" applyFont="1" applyFill="1" applyBorder="1" applyAlignment="1">
      <alignment vertical="center"/>
    </xf>
    <xf numFmtId="170" fontId="20" fillId="3" borderId="33" xfId="0" applyNumberFormat="1" applyFont="1" applyFill="1" applyBorder="1" applyAlignment="1">
      <alignment horizontal="left" vertical="center"/>
    </xf>
    <xf numFmtId="170" fontId="21" fillId="2" borderId="25" xfId="0" applyNumberFormat="1" applyFont="1" applyFill="1" applyBorder="1" applyAlignment="1">
      <alignment vertical="center"/>
    </xf>
    <xf numFmtId="170" fontId="21" fillId="2" borderId="26" xfId="0" applyNumberFormat="1" applyFont="1" applyFill="1" applyBorder="1" applyAlignment="1">
      <alignment vertical="center"/>
    </xf>
    <xf numFmtId="170" fontId="20" fillId="10" borderId="28" xfId="0" applyNumberFormat="1" applyFont="1" applyFill="1" applyBorder="1" applyAlignment="1">
      <alignment horizontal="center" vertical="center" wrapText="1"/>
    </xf>
    <xf numFmtId="173" fontId="0" fillId="3" borderId="27" xfId="6" applyNumberFormat="1" applyFont="1" applyFill="1" applyBorder="1" applyAlignment="1">
      <alignment horizontal="center" vertical="center"/>
    </xf>
    <xf numFmtId="173" fontId="0" fillId="3" borderId="46" xfId="6" applyNumberFormat="1" applyFont="1" applyFill="1" applyBorder="1" applyAlignment="1">
      <alignment horizontal="center" vertical="center"/>
    </xf>
    <xf numFmtId="174" fontId="0" fillId="3" borderId="45" xfId="6" applyNumberFormat="1" applyFont="1" applyFill="1" applyBorder="1" applyAlignment="1">
      <alignment horizontal="center" vertical="center"/>
    </xf>
    <xf numFmtId="174" fontId="0" fillId="3" borderId="47" xfId="6" applyNumberFormat="1" applyFont="1" applyFill="1" applyBorder="1" applyAlignment="1">
      <alignment horizontal="center" vertical="center"/>
    </xf>
    <xf numFmtId="170" fontId="20" fillId="3" borderId="10" xfId="0" applyNumberFormat="1" applyFont="1" applyFill="1" applyBorder="1">
      <alignment horizontal="center" vertical="center"/>
    </xf>
    <xf numFmtId="174" fontId="20" fillId="3" borderId="8" xfId="0" applyNumberFormat="1" applyFont="1" applyFill="1" applyBorder="1">
      <alignment horizontal="center" vertical="center"/>
    </xf>
    <xf numFmtId="0" fontId="20" fillId="0" borderId="5" xfId="0" applyFont="1" applyBorder="1">
      <alignment horizontal="center" vertical="center"/>
    </xf>
    <xf numFmtId="170" fontId="20" fillId="3" borderId="55" xfId="0" applyNumberFormat="1" applyFont="1" applyFill="1" applyBorder="1">
      <alignment horizontal="center" vertical="center"/>
    </xf>
    <xf numFmtId="174" fontId="20" fillId="3" borderId="37" xfId="0" applyNumberFormat="1" applyFont="1" applyFill="1" applyBorder="1">
      <alignment horizontal="center" vertical="center"/>
    </xf>
    <xf numFmtId="172" fontId="20" fillId="12" borderId="0" xfId="0" applyNumberFormat="1" applyFont="1" applyFill="1">
      <alignment horizontal="center" vertical="center"/>
    </xf>
    <xf numFmtId="208" fontId="20" fillId="0" borderId="28" xfId="0" applyNumberFormat="1" applyFont="1" applyBorder="1" applyAlignment="1">
      <alignment vertical="center"/>
    </xf>
    <xf numFmtId="208" fontId="0" fillId="5" borderId="28" xfId="6" applyNumberFormat="1" applyFont="1" applyFill="1" applyBorder="1" applyAlignment="1">
      <alignment horizontal="center" vertical="center"/>
    </xf>
    <xf numFmtId="208" fontId="20" fillId="0" borderId="28" xfId="0" applyNumberFormat="1" applyFont="1" applyBorder="1">
      <alignment horizontal="center" vertical="center"/>
    </xf>
    <xf numFmtId="208" fontId="20" fillId="0" borderId="30" xfId="0" applyNumberFormat="1" applyFont="1" applyBorder="1">
      <alignment horizontal="center" vertical="center"/>
    </xf>
    <xf numFmtId="208" fontId="20" fillId="3" borderId="47" xfId="0" applyNumberFormat="1" applyFont="1" applyFill="1" applyBorder="1">
      <alignment horizontal="center" vertical="center"/>
    </xf>
    <xf numFmtId="208" fontId="21" fillId="2" borderId="26" xfId="0" applyNumberFormat="1" applyFont="1" applyFill="1" applyBorder="1" applyAlignment="1">
      <alignment horizontal="centerContinuous" vertical="center" wrapText="1"/>
    </xf>
    <xf numFmtId="208" fontId="20" fillId="10" borderId="28" xfId="0" applyNumberFormat="1" applyFont="1" applyFill="1" applyBorder="1" applyAlignment="1">
      <alignment horizontal="center" vertical="center" wrapText="1"/>
    </xf>
    <xf numFmtId="0" fontId="0" fillId="10" borderId="30" xfId="0" applyFill="1" applyBorder="1">
      <alignment horizontal="center" vertical="center"/>
    </xf>
    <xf numFmtId="0" fontId="0" fillId="10" borderId="0" xfId="0" applyFill="1" applyAlignment="1">
      <alignment vertical="center"/>
    </xf>
    <xf numFmtId="0" fontId="65" fillId="10" borderId="0" xfId="0" applyFont="1" applyFill="1" applyAlignment="1">
      <alignment vertical="center"/>
    </xf>
    <xf numFmtId="0" fontId="34" fillId="0" borderId="27" xfId="0" applyFont="1" applyBorder="1">
      <alignment horizontal="center" vertical="center"/>
    </xf>
    <xf numFmtId="0" fontId="34" fillId="0" borderId="28" xfId="0" applyFont="1" applyBorder="1" applyAlignment="1">
      <alignment horizontal="right" vertical="center"/>
    </xf>
    <xf numFmtId="0" fontId="34" fillId="0" borderId="45" xfId="0" applyFont="1" applyBorder="1">
      <alignment horizontal="center" vertical="center"/>
    </xf>
    <xf numFmtId="0" fontId="40" fillId="10" borderId="40" xfId="0" applyFont="1" applyFill="1" applyBorder="1" applyAlignment="1">
      <alignment horizontal="centerContinuous" vertical="center" wrapText="1"/>
    </xf>
    <xf numFmtId="0" fontId="34" fillId="10" borderId="43" xfId="0" applyFont="1" applyFill="1" applyBorder="1" applyAlignment="1">
      <alignment horizontal="centerContinuous" vertical="center" wrapText="1"/>
    </xf>
    <xf numFmtId="0" fontId="34" fillId="10" borderId="41" xfId="0" applyFont="1" applyFill="1" applyBorder="1" applyAlignment="1">
      <alignment horizontal="centerContinuous" vertical="center" wrapText="1"/>
    </xf>
    <xf numFmtId="170" fontId="37" fillId="11" borderId="27" xfId="0" applyNumberFormat="1" applyFont="1" applyFill="1" applyBorder="1">
      <alignment horizontal="center" vertical="center"/>
    </xf>
    <xf numFmtId="170" fontId="37" fillId="11" borderId="46" xfId="0" applyNumberFormat="1" applyFont="1" applyFill="1" applyBorder="1">
      <alignment horizontal="center" vertical="center"/>
    </xf>
    <xf numFmtId="170" fontId="34" fillId="0" borderId="0" xfId="0" applyNumberFormat="1" applyFont="1" applyAlignment="1">
      <alignment vertical="center"/>
    </xf>
    <xf numFmtId="173" fontId="20" fillId="12" borderId="5" xfId="2" applyNumberFormat="1" applyFont="1" applyFill="1" applyBorder="1" applyAlignment="1">
      <alignment horizontal="center" vertical="center"/>
    </xf>
    <xf numFmtId="170" fontId="20" fillId="21" borderId="0" xfId="0" applyNumberFormat="1" applyFont="1" applyFill="1" applyAlignment="1">
      <alignment horizontal="right" vertical="center"/>
    </xf>
    <xf numFmtId="170" fontId="20" fillId="21" borderId="0" xfId="4" applyNumberFormat="1" applyFont="1" applyFill="1">
      <alignment horizontal="center" vertical="center"/>
    </xf>
    <xf numFmtId="170" fontId="29" fillId="0" borderId="5" xfId="0" applyNumberFormat="1" applyFont="1" applyBorder="1">
      <alignment horizontal="center" vertical="center"/>
    </xf>
    <xf numFmtId="170" fontId="37" fillId="11" borderId="0" xfId="0" applyNumberFormat="1" applyFont="1" applyFill="1" applyAlignment="1">
      <alignment horizontal="right" vertical="center"/>
    </xf>
    <xf numFmtId="0" fontId="37" fillId="0" borderId="0" xfId="0" applyFont="1" applyAlignment="1">
      <alignment horizontal="left" vertical="center" indent="1"/>
    </xf>
    <xf numFmtId="170" fontId="42" fillId="12" borderId="0" xfId="0" applyNumberFormat="1" applyFont="1" applyFill="1">
      <alignment horizontal="center" vertical="center"/>
    </xf>
    <xf numFmtId="174" fontId="42" fillId="12" borderId="0" xfId="0" applyNumberFormat="1" applyFont="1" applyFill="1">
      <alignment horizontal="center" vertical="center"/>
    </xf>
    <xf numFmtId="175" fontId="42" fillId="12" borderId="0" xfId="0" applyNumberFormat="1" applyFont="1" applyFill="1">
      <alignment horizontal="center" vertical="center"/>
    </xf>
    <xf numFmtId="172" fontId="42" fillId="12" borderId="0" xfId="0" applyNumberFormat="1" applyFont="1" applyFill="1">
      <alignment horizontal="center" vertical="center"/>
    </xf>
    <xf numFmtId="170" fontId="16" fillId="12" borderId="0" xfId="4" applyNumberFormat="1" applyFont="1">
      <alignment horizontal="center" vertical="center"/>
    </xf>
    <xf numFmtId="170" fontId="65" fillId="0" borderId="0" xfId="4" applyNumberFormat="1" applyFont="1" applyFill="1">
      <alignment horizontal="center" vertical="center"/>
    </xf>
    <xf numFmtId="170" fontId="34" fillId="0" borderId="0" xfId="0" applyNumberFormat="1" applyFont="1">
      <alignment horizontal="center" vertical="center"/>
    </xf>
    <xf numFmtId="170" fontId="56" fillId="0" borderId="0" xfId="0" applyNumberFormat="1" applyFont="1">
      <alignment horizontal="center" vertical="center"/>
    </xf>
    <xf numFmtId="0" fontId="70" fillId="0" borderId="0" xfId="0" applyFont="1">
      <alignment horizontal="center" vertical="center"/>
    </xf>
    <xf numFmtId="0" fontId="56" fillId="0" borderId="0" xfId="0" applyFont="1" applyAlignment="1">
      <alignment horizontal="left" vertical="center" indent="2"/>
    </xf>
    <xf numFmtId="172" fontId="37" fillId="10" borderId="0" xfId="0" applyNumberFormat="1" applyFont="1" applyFill="1">
      <alignment horizontal="center" vertical="center"/>
    </xf>
    <xf numFmtId="175" fontId="34" fillId="0" borderId="0" xfId="0" applyNumberFormat="1" applyFont="1">
      <alignment horizontal="center" vertical="center"/>
    </xf>
    <xf numFmtId="170" fontId="24" fillId="0" borderId="0" xfId="3" applyFont="1" applyFill="1">
      <alignment horizontal="center" vertical="center"/>
    </xf>
    <xf numFmtId="170" fontId="34" fillId="10" borderId="0" xfId="0" applyNumberFormat="1" applyFont="1" applyFill="1">
      <alignment horizontal="center" vertical="center"/>
    </xf>
    <xf numFmtId="172" fontId="34" fillId="10" borderId="0" xfId="0" applyNumberFormat="1" applyFont="1" applyFill="1">
      <alignment horizontal="center" vertical="center"/>
    </xf>
    <xf numFmtId="174" fontId="34" fillId="12" borderId="0" xfId="0" applyNumberFormat="1" applyFont="1" applyFill="1">
      <alignment horizontal="center" vertical="center"/>
    </xf>
    <xf numFmtId="0" fontId="72" fillId="0" borderId="0" xfId="0" applyFont="1" applyAlignment="1">
      <alignment vertical="center"/>
    </xf>
    <xf numFmtId="172" fontId="34" fillId="12" borderId="0" xfId="0" applyNumberFormat="1" applyFont="1" applyFill="1">
      <alignment horizontal="center" vertical="center"/>
    </xf>
    <xf numFmtId="170" fontId="34" fillId="12" borderId="0" xfId="0" applyNumberFormat="1" applyFont="1" applyFill="1">
      <alignment horizontal="center" vertical="center"/>
    </xf>
    <xf numFmtId="210" fontId="20" fillId="11" borderId="0" xfId="6" applyNumberFormat="1" applyFont="1" applyFill="1" applyAlignment="1">
      <alignment horizontal="center"/>
    </xf>
    <xf numFmtId="0" fontId="71" fillId="0" borderId="0" xfId="0" applyFont="1" applyAlignment="1">
      <alignment vertical="center"/>
    </xf>
    <xf numFmtId="0" fontId="56" fillId="0" borderId="0" xfId="0" applyFont="1">
      <alignment horizontal="center" vertical="center"/>
    </xf>
    <xf numFmtId="174" fontId="56" fillId="0" borderId="0" xfId="0" applyNumberFormat="1" applyFont="1">
      <alignment horizontal="center" vertical="center"/>
    </xf>
    <xf numFmtId="172" fontId="56" fillId="0" borderId="0" xfId="0" applyNumberFormat="1" applyFont="1">
      <alignment horizontal="center" vertical="center"/>
    </xf>
    <xf numFmtId="0" fontId="34" fillId="5" borderId="0" xfId="0" applyFont="1" applyFill="1">
      <alignment horizontal="center" vertical="center"/>
    </xf>
    <xf numFmtId="0" fontId="34" fillId="5" borderId="0" xfId="0" applyFont="1" applyFill="1" applyAlignment="1">
      <alignment horizontal="center" vertical="center" wrapText="1"/>
    </xf>
    <xf numFmtId="0" fontId="34" fillId="5" borderId="61" xfId="0" applyFont="1" applyFill="1" applyBorder="1">
      <alignment horizontal="center" vertical="center"/>
    </xf>
    <xf numFmtId="0" fontId="34" fillId="5" borderId="61" xfId="0" applyFont="1" applyFill="1" applyBorder="1" applyAlignment="1">
      <alignment horizontal="center" vertical="center" wrapText="1"/>
    </xf>
    <xf numFmtId="170" fontId="37" fillId="10" borderId="61" xfId="0" applyNumberFormat="1" applyFont="1" applyFill="1" applyBorder="1">
      <alignment horizontal="center" vertical="center"/>
    </xf>
    <xf numFmtId="0" fontId="37" fillId="0" borderId="61" xfId="0" applyFont="1" applyBorder="1">
      <alignment horizontal="center" vertical="center"/>
    </xf>
    <xf numFmtId="175" fontId="37" fillId="10" borderId="61" xfId="0" applyNumberFormat="1" applyFont="1" applyFill="1" applyBorder="1">
      <alignment horizontal="center" vertical="center"/>
    </xf>
    <xf numFmtId="174" fontId="37" fillId="10" borderId="61" xfId="0" applyNumberFormat="1" applyFont="1" applyFill="1" applyBorder="1">
      <alignment horizontal="center" vertical="center"/>
    </xf>
    <xf numFmtId="172" fontId="37" fillId="10" borderId="61" xfId="0" applyNumberFormat="1" applyFont="1" applyFill="1" applyBorder="1">
      <alignment horizontal="center" vertical="center"/>
    </xf>
    <xf numFmtId="0" fontId="40" fillId="3" borderId="0" xfId="0" applyFont="1" applyFill="1" applyAlignment="1">
      <alignment horizontal="centerContinuous" vertical="center" wrapText="1"/>
    </xf>
    <xf numFmtId="0" fontId="40" fillId="3" borderId="62" xfId="0" applyFont="1" applyFill="1" applyBorder="1" applyAlignment="1">
      <alignment horizontal="centerContinuous" vertical="center" wrapText="1"/>
    </xf>
    <xf numFmtId="175" fontId="37" fillId="11" borderId="0" xfId="0" applyNumberFormat="1" applyFont="1" applyFill="1">
      <alignment horizontal="center" vertical="center"/>
    </xf>
    <xf numFmtId="175" fontId="37" fillId="11" borderId="45" xfId="0" applyNumberFormat="1" applyFont="1" applyFill="1" applyBorder="1">
      <alignment horizontal="center" vertical="center"/>
    </xf>
    <xf numFmtId="0" fontId="40" fillId="10" borderId="15" xfId="0" applyFont="1" applyFill="1" applyBorder="1" applyAlignment="1">
      <alignment vertical="center"/>
    </xf>
    <xf numFmtId="0" fontId="40" fillId="10" borderId="13" xfId="0" applyFont="1" applyFill="1" applyBorder="1" applyAlignment="1">
      <alignment vertical="center"/>
    </xf>
    <xf numFmtId="0" fontId="40" fillId="10" borderId="16" xfId="0" applyFont="1" applyFill="1" applyBorder="1" applyAlignment="1">
      <alignment vertical="center"/>
    </xf>
    <xf numFmtId="0" fontId="40" fillId="10" borderId="8" xfId="0" applyFont="1" applyFill="1" applyBorder="1" applyAlignment="1">
      <alignment vertical="center"/>
    </xf>
    <xf numFmtId="0" fontId="34" fillId="10" borderId="3" xfId="0" applyFont="1" applyFill="1" applyBorder="1" applyAlignment="1">
      <alignment vertical="center"/>
    </xf>
    <xf numFmtId="171" fontId="37" fillId="10" borderId="3" xfId="0" applyNumberFormat="1" applyFont="1" applyFill="1" applyBorder="1" applyAlignment="1">
      <alignment horizontal="right" vertical="center"/>
    </xf>
    <xf numFmtId="171" fontId="37" fillId="10" borderId="13" xfId="0" applyNumberFormat="1" applyFont="1" applyFill="1" applyBorder="1" applyAlignment="1">
      <alignment horizontal="right" vertical="center"/>
    </xf>
    <xf numFmtId="173" fontId="37" fillId="10" borderId="13" xfId="0" applyNumberFormat="1" applyFont="1" applyFill="1" applyBorder="1" applyAlignment="1">
      <alignment horizontal="right" vertical="center"/>
    </xf>
    <xf numFmtId="174" fontId="37" fillId="10" borderId="13" xfId="0" applyNumberFormat="1" applyFont="1" applyFill="1" applyBorder="1" applyAlignment="1">
      <alignment horizontal="right" vertical="center"/>
    </xf>
    <xf numFmtId="174" fontId="37" fillId="10" borderId="16" xfId="0" applyNumberFormat="1" applyFont="1" applyFill="1" applyBorder="1" applyAlignment="1">
      <alignment horizontal="right" vertical="center"/>
    </xf>
    <xf numFmtId="0" fontId="34" fillId="0" borderId="8" xfId="0" applyFont="1" applyBorder="1" applyAlignment="1">
      <alignment horizontal="left" vertical="center" indent="1"/>
    </xf>
    <xf numFmtId="174" fontId="37" fillId="0" borderId="10" xfId="0" applyNumberFormat="1" applyFont="1" applyBorder="1" applyAlignment="1">
      <alignment horizontal="right" vertical="center"/>
    </xf>
    <xf numFmtId="0" fontId="53" fillId="0" borderId="0" xfId="0" applyFont="1" applyAlignment="1">
      <alignment horizontal="left" vertical="center" indent="1"/>
    </xf>
    <xf numFmtId="173" fontId="37" fillId="0" borderId="0" xfId="0" applyNumberFormat="1" applyFont="1" applyAlignment="1">
      <alignment horizontal="right" vertical="center"/>
    </xf>
    <xf numFmtId="174" fontId="37" fillId="0" borderId="0" xfId="0" applyNumberFormat="1" applyFont="1" applyAlignment="1">
      <alignment horizontal="right" vertical="center"/>
    </xf>
    <xf numFmtId="174" fontId="37" fillId="0" borderId="4" xfId="0" applyNumberFormat="1" applyFont="1" applyBorder="1" applyAlignment="1">
      <alignment horizontal="right" vertical="center"/>
    </xf>
    <xf numFmtId="171" fontId="34" fillId="0" borderId="4" xfId="0" applyNumberFormat="1" applyFont="1" applyBorder="1" applyAlignment="1">
      <alignment vertical="center"/>
    </xf>
    <xf numFmtId="187" fontId="34" fillId="0" borderId="4" xfId="0" applyNumberFormat="1" applyFont="1" applyBorder="1" applyAlignment="1">
      <alignment vertical="center"/>
    </xf>
    <xf numFmtId="0" fontId="34" fillId="0" borderId="7" xfId="0" applyFont="1" applyBorder="1" applyAlignment="1">
      <alignment horizontal="left" vertical="center" indent="1"/>
    </xf>
    <xf numFmtId="174" fontId="37" fillId="0" borderId="9" xfId="0" applyNumberFormat="1" applyFont="1" applyBorder="1" applyAlignment="1">
      <alignment horizontal="right" vertical="center"/>
    </xf>
    <xf numFmtId="0" fontId="40" fillId="0" borderId="15" xfId="0" applyFont="1" applyBorder="1" applyAlignment="1">
      <alignment vertical="center"/>
    </xf>
    <xf numFmtId="174" fontId="55" fillId="0" borderId="16" xfId="0" applyNumberFormat="1" applyFont="1" applyBorder="1" applyAlignment="1">
      <alignment horizontal="right" vertical="center"/>
    </xf>
    <xf numFmtId="0" fontId="53" fillId="0" borderId="0" xfId="0" applyFont="1" applyAlignment="1">
      <alignment vertical="center"/>
    </xf>
    <xf numFmtId="187" fontId="34" fillId="0" borderId="9" xfId="0" applyNumberFormat="1" applyFont="1" applyBorder="1" applyAlignment="1">
      <alignment vertical="center"/>
    </xf>
    <xf numFmtId="0" fontId="40" fillId="5" borderId="15" xfId="0" applyFont="1" applyFill="1" applyBorder="1" applyAlignment="1">
      <alignment vertical="center"/>
    </xf>
    <xf numFmtId="0" fontId="40" fillId="5" borderId="13" xfId="0" applyFont="1" applyFill="1" applyBorder="1" applyAlignment="1">
      <alignment vertical="center"/>
    </xf>
    <xf numFmtId="171" fontId="55" fillId="18" borderId="13" xfId="0" applyNumberFormat="1" applyFont="1" applyFill="1" applyBorder="1" applyAlignment="1">
      <alignment horizontal="right" vertical="center"/>
    </xf>
    <xf numFmtId="172" fontId="55" fillId="5" borderId="13" xfId="0" applyNumberFormat="1" applyFont="1" applyFill="1" applyBorder="1" applyAlignment="1">
      <alignment horizontal="right" vertical="center"/>
    </xf>
    <xf numFmtId="171" fontId="55" fillId="5" borderId="13" xfId="0" applyNumberFormat="1" applyFont="1" applyFill="1" applyBorder="1" applyAlignment="1">
      <alignment horizontal="right" vertical="center"/>
    </xf>
    <xf numFmtId="172" fontId="55" fillId="18" borderId="13" xfId="0" applyNumberFormat="1" applyFont="1" applyFill="1" applyBorder="1" applyAlignment="1">
      <alignment horizontal="right" vertical="center"/>
    </xf>
    <xf numFmtId="173" fontId="55" fillId="5" borderId="13" xfId="0" applyNumberFormat="1" applyFont="1" applyFill="1" applyBorder="1" applyAlignment="1">
      <alignment horizontal="right" vertical="center"/>
    </xf>
    <xf numFmtId="174" fontId="55" fillId="5" borderId="13" xfId="0" applyNumberFormat="1" applyFont="1" applyFill="1" applyBorder="1" applyAlignment="1">
      <alignment horizontal="right" vertical="center"/>
    </xf>
    <xf numFmtId="174" fontId="55" fillId="5" borderId="16" xfId="0" applyNumberFormat="1" applyFont="1" applyFill="1" applyBorder="1" applyAlignment="1">
      <alignment horizontal="right" vertical="center"/>
    </xf>
    <xf numFmtId="174" fontId="34" fillId="0" borderId="4" xfId="0" applyNumberFormat="1" applyFont="1" applyBorder="1" applyAlignment="1">
      <alignment vertical="center"/>
    </xf>
    <xf numFmtId="170" fontId="34" fillId="0" borderId="9" xfId="0" applyNumberFormat="1" applyFont="1" applyBorder="1" applyAlignment="1">
      <alignment vertical="center"/>
    </xf>
    <xf numFmtId="0" fontId="37" fillId="0" borderId="5" xfId="0" applyFont="1" applyBorder="1" applyAlignment="1">
      <alignment horizontal="left" vertical="center" indent="1"/>
    </xf>
    <xf numFmtId="0" fontId="57" fillId="0" borderId="0" xfId="0" applyFont="1" applyAlignment="1">
      <alignment horizontal="left" vertical="center" indent="1"/>
    </xf>
    <xf numFmtId="173" fontId="55" fillId="18" borderId="13" xfId="0" applyNumberFormat="1" applyFont="1" applyFill="1" applyBorder="1" applyAlignment="1">
      <alignment horizontal="right" vertical="center"/>
    </xf>
    <xf numFmtId="0" fontId="40" fillId="3" borderId="8" xfId="0" applyFont="1" applyFill="1" applyBorder="1" applyAlignment="1">
      <alignment vertical="center"/>
    </xf>
    <xf numFmtId="0" fontId="40" fillId="3" borderId="3" xfId="0" applyFont="1" applyFill="1" applyBorder="1" applyAlignment="1">
      <alignment vertical="center"/>
    </xf>
    <xf numFmtId="171" fontId="55" fillId="3" borderId="3" xfId="0" applyNumberFormat="1" applyFont="1" applyFill="1" applyBorder="1" applyAlignment="1">
      <alignment horizontal="right" vertical="center"/>
    </xf>
    <xf numFmtId="172" fontId="55" fillId="3" borderId="3" xfId="0" applyNumberFormat="1" applyFont="1" applyFill="1" applyBorder="1" applyAlignment="1">
      <alignment horizontal="right" vertical="center"/>
    </xf>
    <xf numFmtId="173" fontId="55" fillId="3" borderId="3" xfId="0" applyNumberFormat="1" applyFont="1" applyFill="1" applyBorder="1" applyAlignment="1">
      <alignment horizontal="right" vertical="center"/>
    </xf>
    <xf numFmtId="174" fontId="55" fillId="3" borderId="3" xfId="0" applyNumberFormat="1" applyFont="1" applyFill="1" applyBorder="1" applyAlignment="1">
      <alignment horizontal="right" vertical="center"/>
    </xf>
    <xf numFmtId="174" fontId="55" fillId="3" borderId="10" xfId="0" applyNumberFormat="1" applyFont="1" applyFill="1" applyBorder="1" applyAlignment="1">
      <alignment horizontal="right" vertical="center"/>
    </xf>
    <xf numFmtId="0" fontId="40" fillId="3" borderId="7" xfId="0" applyFont="1" applyFill="1" applyBorder="1" applyAlignment="1">
      <alignment vertical="center"/>
    </xf>
    <xf numFmtId="0" fontId="40" fillId="3" borderId="2" xfId="0" applyFont="1" applyFill="1" applyBorder="1" applyAlignment="1">
      <alignment vertical="center"/>
    </xf>
    <xf numFmtId="171" fontId="55" fillId="3" borderId="2" xfId="0" applyNumberFormat="1" applyFont="1" applyFill="1" applyBorder="1" applyAlignment="1">
      <alignment horizontal="right" vertical="center"/>
    </xf>
    <xf numFmtId="172" fontId="55" fillId="3" borderId="2" xfId="0" applyNumberFormat="1" applyFont="1" applyFill="1" applyBorder="1" applyAlignment="1">
      <alignment horizontal="right" vertical="center"/>
    </xf>
    <xf numFmtId="171" fontId="55" fillId="18" borderId="2" xfId="0" applyNumberFormat="1" applyFont="1" applyFill="1" applyBorder="1" applyAlignment="1">
      <alignment horizontal="right" vertical="center"/>
    </xf>
    <xf numFmtId="173" fontId="55" fillId="3" borderId="2" xfId="0" applyNumberFormat="1" applyFont="1" applyFill="1" applyBorder="1" applyAlignment="1">
      <alignment horizontal="right" vertical="center"/>
    </xf>
    <xf numFmtId="174" fontId="55" fillId="3" borderId="2" xfId="0" applyNumberFormat="1" applyFont="1" applyFill="1" applyBorder="1" applyAlignment="1">
      <alignment horizontal="right" vertical="center"/>
    </xf>
    <xf numFmtId="0" fontId="34" fillId="0" borderId="14" xfId="0" applyFont="1" applyBorder="1">
      <alignment horizontal="center" vertical="center"/>
    </xf>
    <xf numFmtId="170" fontId="34" fillId="0" borderId="11" xfId="0" applyNumberFormat="1" applyFont="1" applyBorder="1">
      <alignment horizontal="center" vertical="center"/>
    </xf>
    <xf numFmtId="170" fontId="34" fillId="0" borderId="18" xfId="0" applyNumberFormat="1" applyFont="1" applyBorder="1">
      <alignment horizontal="center" vertical="center"/>
    </xf>
    <xf numFmtId="171" fontId="34" fillId="0" borderId="11" xfId="0" applyNumberFormat="1" applyFont="1" applyBorder="1">
      <alignment horizontal="center" vertical="center"/>
    </xf>
    <xf numFmtId="171" fontId="55" fillId="18" borderId="12" xfId="0" applyNumberFormat="1" applyFont="1" applyFill="1" applyBorder="1">
      <alignment horizontal="center" vertical="center"/>
    </xf>
    <xf numFmtId="174" fontId="73" fillId="28" borderId="63" xfId="0" applyNumberFormat="1" applyFont="1" applyFill="1" applyBorder="1" applyAlignment="1">
      <alignment horizontal="left" vertical="center"/>
    </xf>
    <xf numFmtId="174" fontId="35" fillId="28" borderId="64" xfId="0" applyNumberFormat="1" applyFont="1" applyFill="1" applyBorder="1" applyAlignment="1">
      <alignment horizontal="left" vertical="center"/>
    </xf>
    <xf numFmtId="174" fontId="35" fillId="28" borderId="65" xfId="0" applyNumberFormat="1" applyFont="1" applyFill="1" applyBorder="1" applyAlignment="1">
      <alignment horizontal="left" vertical="center"/>
    </xf>
    <xf numFmtId="0" fontId="35" fillId="29" borderId="0" xfId="0" applyFont="1" applyFill="1" applyAlignment="1">
      <alignment vertical="center"/>
    </xf>
    <xf numFmtId="174" fontId="73" fillId="28" borderId="64" xfId="0" applyNumberFormat="1" applyFont="1" applyFill="1" applyBorder="1" applyAlignment="1">
      <alignment horizontal="left" vertical="center"/>
    </xf>
    <xf numFmtId="174" fontId="73" fillId="28" borderId="64" xfId="0" applyNumberFormat="1" applyFont="1" applyFill="1" applyBorder="1" applyAlignment="1">
      <alignment horizontal="right" vertical="center"/>
    </xf>
    <xf numFmtId="174" fontId="73" fillId="28" borderId="65" xfId="0" applyNumberFormat="1" applyFont="1" applyFill="1" applyBorder="1" applyAlignment="1">
      <alignment horizontal="right" vertical="center"/>
    </xf>
    <xf numFmtId="0" fontId="35" fillId="29" borderId="5" xfId="0" applyFont="1" applyFill="1" applyBorder="1" applyAlignment="1">
      <alignment horizontal="left" vertical="center" indent="1"/>
    </xf>
    <xf numFmtId="0" fontId="35" fillId="29" borderId="8" xfId="0" applyFont="1" applyFill="1" applyBorder="1" applyAlignment="1">
      <alignment horizontal="left" vertical="center" indent="1"/>
    </xf>
    <xf numFmtId="0" fontId="35" fillId="29" borderId="3" xfId="0" applyFont="1" applyFill="1" applyBorder="1" applyAlignment="1">
      <alignment vertical="center"/>
    </xf>
    <xf numFmtId="171" fontId="35" fillId="29" borderId="3" xfId="0" applyNumberFormat="1" applyFont="1" applyFill="1" applyBorder="1" applyAlignment="1">
      <alignment horizontal="right" vertical="center"/>
    </xf>
    <xf numFmtId="172" fontId="35" fillId="29" borderId="3" xfId="0" applyNumberFormat="1" applyFont="1" applyFill="1" applyBorder="1" applyAlignment="1">
      <alignment horizontal="right" vertical="center"/>
    </xf>
    <xf numFmtId="173" fontId="35" fillId="29" borderId="3" xfId="0" applyNumberFormat="1" applyFont="1" applyFill="1" applyBorder="1" applyAlignment="1">
      <alignment horizontal="right" vertical="center"/>
    </xf>
    <xf numFmtId="174" fontId="35" fillId="29" borderId="3" xfId="0" applyNumberFormat="1" applyFont="1" applyFill="1" applyBorder="1" applyAlignment="1">
      <alignment horizontal="right" vertical="center"/>
    </xf>
    <xf numFmtId="174" fontId="35" fillId="29" borderId="10" xfId="0" applyNumberFormat="1" applyFont="1" applyFill="1" applyBorder="1" applyAlignment="1">
      <alignment horizontal="right" vertical="center"/>
    </xf>
    <xf numFmtId="0" fontId="74" fillId="29" borderId="0" xfId="0" applyFont="1" applyFill="1" applyAlignment="1">
      <alignment horizontal="left" vertical="center" indent="1"/>
    </xf>
    <xf numFmtId="0" fontId="35" fillId="29" borderId="4" xfId="0" applyFont="1" applyFill="1" applyBorder="1" applyAlignment="1">
      <alignment vertical="center"/>
    </xf>
    <xf numFmtId="171" fontId="35" fillId="29" borderId="0" xfId="0" applyNumberFormat="1" applyFont="1" applyFill="1" applyAlignment="1">
      <alignment horizontal="right" vertical="center"/>
    </xf>
    <xf numFmtId="172" fontId="35" fillId="29" borderId="0" xfId="0" applyNumberFormat="1" applyFont="1" applyFill="1" applyAlignment="1">
      <alignment horizontal="right" vertical="center"/>
    </xf>
    <xf numFmtId="173" fontId="35" fillId="29" borderId="0" xfId="0" applyNumberFormat="1" applyFont="1" applyFill="1" applyAlignment="1">
      <alignment horizontal="right" vertical="center"/>
    </xf>
    <xf numFmtId="174" fontId="35" fillId="29" borderId="0" xfId="0" applyNumberFormat="1" applyFont="1" applyFill="1" applyAlignment="1">
      <alignment horizontal="right" vertical="center"/>
    </xf>
    <xf numFmtId="174" fontId="35" fillId="29" borderId="4" xfId="0" applyNumberFormat="1" applyFont="1" applyFill="1" applyBorder="1" applyAlignment="1">
      <alignment horizontal="right" vertical="center"/>
    </xf>
    <xf numFmtId="0" fontId="35" fillId="29" borderId="0" xfId="0" applyFont="1" applyFill="1" applyAlignment="1">
      <alignment horizontal="centerContinuous" vertical="center" wrapText="1"/>
    </xf>
    <xf numFmtId="171" fontId="35" fillId="29" borderId="4" xfId="0" applyNumberFormat="1" applyFont="1" applyFill="1" applyBorder="1" applyAlignment="1">
      <alignment vertical="center"/>
    </xf>
    <xf numFmtId="187" fontId="35" fillId="29" borderId="4" xfId="0" applyNumberFormat="1" applyFont="1" applyFill="1" applyBorder="1" applyAlignment="1">
      <alignment vertical="center"/>
    </xf>
    <xf numFmtId="0" fontId="35" fillId="29" borderId="7" xfId="0" applyFont="1" applyFill="1" applyBorder="1" applyAlignment="1">
      <alignment horizontal="left" vertical="center" indent="1"/>
    </xf>
    <xf numFmtId="0" fontId="35" fillId="29" borderId="2" xfId="0" applyFont="1" applyFill="1" applyBorder="1" applyAlignment="1">
      <alignment vertical="center"/>
    </xf>
    <xf numFmtId="171" fontId="35" fillId="29" borderId="2" xfId="0" applyNumberFormat="1" applyFont="1" applyFill="1" applyBorder="1" applyAlignment="1">
      <alignment horizontal="right" vertical="center"/>
    </xf>
    <xf numFmtId="172" fontId="35" fillId="29" borderId="2" xfId="0" applyNumberFormat="1" applyFont="1" applyFill="1" applyBorder="1" applyAlignment="1">
      <alignment horizontal="right" vertical="center"/>
    </xf>
    <xf numFmtId="173" fontId="35" fillId="29" borderId="2" xfId="0" applyNumberFormat="1" applyFont="1" applyFill="1" applyBorder="1" applyAlignment="1">
      <alignment horizontal="right" vertical="center"/>
    </xf>
    <xf numFmtId="174" fontId="35" fillId="29" borderId="2" xfId="0" applyNumberFormat="1" applyFont="1" applyFill="1" applyBorder="1" applyAlignment="1">
      <alignment horizontal="right" vertical="center"/>
    </xf>
    <xf numFmtId="174" fontId="35" fillId="29" borderId="9" xfId="0" applyNumberFormat="1" applyFont="1" applyFill="1" applyBorder="1" applyAlignment="1">
      <alignment horizontal="right" vertical="center"/>
    </xf>
    <xf numFmtId="0" fontId="73" fillId="29" borderId="15" xfId="0" applyFont="1" applyFill="1" applyBorder="1" applyAlignment="1">
      <alignment vertical="center"/>
    </xf>
    <xf numFmtId="0" fontId="73" fillId="29" borderId="13" xfId="0" applyFont="1" applyFill="1" applyBorder="1" applyAlignment="1">
      <alignment vertical="center"/>
    </xf>
    <xf numFmtId="172" fontId="73" fillId="29" borderId="13" xfId="0" applyNumberFormat="1" applyFont="1" applyFill="1" applyBorder="1" applyAlignment="1">
      <alignment horizontal="right" vertical="center"/>
    </xf>
    <xf numFmtId="171" fontId="73" fillId="29" borderId="13" xfId="0" applyNumberFormat="1" applyFont="1" applyFill="1" applyBorder="1" applyAlignment="1">
      <alignment horizontal="right" vertical="center"/>
    </xf>
    <xf numFmtId="173" fontId="73" fillId="29" borderId="13" xfId="0" applyNumberFormat="1" applyFont="1" applyFill="1" applyBorder="1" applyAlignment="1">
      <alignment horizontal="right" vertical="center"/>
    </xf>
    <xf numFmtId="174" fontId="73" fillId="29" borderId="13" xfId="0" applyNumberFormat="1" applyFont="1" applyFill="1" applyBorder="1" applyAlignment="1">
      <alignment horizontal="right" vertical="center"/>
    </xf>
    <xf numFmtId="174" fontId="73" fillId="29" borderId="16" xfId="0" applyNumberFormat="1" applyFont="1" applyFill="1" applyBorder="1" applyAlignment="1">
      <alignment horizontal="right" vertical="center"/>
    </xf>
    <xf numFmtId="0" fontId="74" fillId="29" borderId="0" xfId="0" applyFont="1" applyFill="1" applyAlignment="1">
      <alignment vertical="center"/>
    </xf>
    <xf numFmtId="187" fontId="35" fillId="29" borderId="9" xfId="0" applyNumberFormat="1" applyFont="1" applyFill="1" applyBorder="1" applyAlignment="1">
      <alignment vertical="center"/>
    </xf>
    <xf numFmtId="0" fontId="73" fillId="29" borderId="8" xfId="0" applyFont="1" applyFill="1" applyBorder="1" applyAlignment="1">
      <alignment vertical="center"/>
    </xf>
    <xf numFmtId="0" fontId="73" fillId="29" borderId="3" xfId="0" applyFont="1" applyFill="1" applyBorder="1" applyAlignment="1">
      <alignment vertical="center"/>
    </xf>
    <xf numFmtId="171" fontId="73" fillId="29" borderId="3" xfId="0" applyNumberFormat="1" applyFont="1" applyFill="1" applyBorder="1" applyAlignment="1">
      <alignment horizontal="right" vertical="center"/>
    </xf>
    <xf numFmtId="172" fontId="73" fillId="29" borderId="3" xfId="0" applyNumberFormat="1" applyFont="1" applyFill="1" applyBorder="1" applyAlignment="1">
      <alignment horizontal="right" vertical="center"/>
    </xf>
    <xf numFmtId="173" fontId="73" fillId="29" borderId="3" xfId="0" applyNumberFormat="1" applyFont="1" applyFill="1" applyBorder="1" applyAlignment="1">
      <alignment horizontal="right" vertical="center"/>
    </xf>
    <xf numFmtId="174" fontId="73" fillId="29" borderId="3" xfId="0" applyNumberFormat="1" applyFont="1" applyFill="1" applyBorder="1" applyAlignment="1">
      <alignment horizontal="right" vertical="center"/>
    </xf>
    <xf numFmtId="174" fontId="73" fillId="29" borderId="10" xfId="0" applyNumberFormat="1" applyFont="1" applyFill="1" applyBorder="1" applyAlignment="1">
      <alignment horizontal="right" vertical="center"/>
    </xf>
    <xf numFmtId="170" fontId="73" fillId="30" borderId="63" xfId="0" applyNumberFormat="1" applyFont="1" applyFill="1" applyBorder="1" applyAlignment="1">
      <alignment vertical="center"/>
    </xf>
    <xf numFmtId="0" fontId="73" fillId="30" borderId="64" xfId="0" applyFont="1" applyFill="1" applyBorder="1" applyAlignment="1">
      <alignment vertical="center"/>
    </xf>
    <xf numFmtId="171" fontId="73" fillId="30" borderId="64" xfId="0" applyNumberFormat="1" applyFont="1" applyFill="1" applyBorder="1" applyAlignment="1">
      <alignment horizontal="right" vertical="center"/>
    </xf>
    <xf numFmtId="172" fontId="73" fillId="30" borderId="64" xfId="0" applyNumberFormat="1" applyFont="1" applyFill="1" applyBorder="1" applyAlignment="1">
      <alignment horizontal="right" vertical="center"/>
    </xf>
    <xf numFmtId="173" fontId="73" fillId="30" borderId="64" xfId="0" applyNumberFormat="1" applyFont="1" applyFill="1" applyBorder="1" applyAlignment="1">
      <alignment horizontal="right" vertical="center"/>
    </xf>
    <xf numFmtId="174" fontId="73" fillId="30" borderId="64" xfId="0" applyNumberFormat="1" applyFont="1" applyFill="1" applyBorder="1" applyAlignment="1">
      <alignment horizontal="right" vertical="center"/>
    </xf>
    <xf numFmtId="174" fontId="73" fillId="30" borderId="65" xfId="0" applyNumberFormat="1" applyFont="1" applyFill="1" applyBorder="1" applyAlignment="1">
      <alignment horizontal="right" vertical="center"/>
    </xf>
    <xf numFmtId="174" fontId="35" fillId="29" borderId="4" xfId="0" applyNumberFormat="1" applyFont="1" applyFill="1" applyBorder="1" applyAlignment="1">
      <alignment vertical="center"/>
    </xf>
    <xf numFmtId="170" fontId="35" fillId="29" borderId="4" xfId="0" applyNumberFormat="1" applyFont="1" applyFill="1" applyBorder="1" applyAlignment="1">
      <alignment vertical="center"/>
    </xf>
    <xf numFmtId="0" fontId="35" fillId="29" borderId="0" xfId="0" applyFont="1" applyFill="1" applyAlignment="1">
      <alignment horizontal="right" vertical="center"/>
    </xf>
    <xf numFmtId="0" fontId="73" fillId="29" borderId="66" xfId="0" applyFont="1" applyFill="1" applyBorder="1" applyAlignment="1">
      <alignment vertical="center"/>
    </xf>
    <xf numFmtId="0" fontId="73" fillId="29" borderId="17" xfId="0" applyFont="1" applyFill="1" applyBorder="1" applyAlignment="1">
      <alignment vertical="center"/>
    </xf>
    <xf numFmtId="171" fontId="73" fillId="29" borderId="17" xfId="0" applyNumberFormat="1" applyFont="1" applyFill="1" applyBorder="1" applyAlignment="1">
      <alignment horizontal="right" vertical="center"/>
    </xf>
    <xf numFmtId="172" fontId="73" fillId="29" borderId="17" xfId="0" applyNumberFormat="1" applyFont="1" applyFill="1" applyBorder="1" applyAlignment="1">
      <alignment horizontal="right" vertical="center"/>
    </xf>
    <xf numFmtId="173" fontId="73" fillId="29" borderId="17" xfId="0" applyNumberFormat="1" applyFont="1" applyFill="1" applyBorder="1" applyAlignment="1">
      <alignment horizontal="right" vertical="center"/>
    </xf>
    <xf numFmtId="174" fontId="73" fillId="29" borderId="67" xfId="0" applyNumberFormat="1" applyFont="1" applyFill="1" applyBorder="1" applyAlignment="1">
      <alignment horizontal="right" vertical="center"/>
    </xf>
    <xf numFmtId="0" fontId="35" fillId="29" borderId="68" xfId="0" applyFont="1" applyFill="1" applyBorder="1" applyAlignment="1">
      <alignment horizontal="left" vertical="center" indent="1"/>
    </xf>
    <xf numFmtId="174" fontId="35" fillId="29" borderId="69" xfId="0" applyNumberFormat="1" applyFont="1" applyFill="1" applyBorder="1" applyAlignment="1">
      <alignment horizontal="right" vertical="center"/>
    </xf>
    <xf numFmtId="0" fontId="34" fillId="0" borderId="70" xfId="0" applyFont="1" applyBorder="1" applyAlignment="1">
      <alignment vertical="center"/>
    </xf>
    <xf numFmtId="170" fontId="34" fillId="0" borderId="70" xfId="0" applyNumberFormat="1" applyFont="1" applyBorder="1" applyAlignment="1">
      <alignment horizontal="right" vertical="center"/>
    </xf>
    <xf numFmtId="170" fontId="73" fillId="28" borderId="63" xfId="0" applyNumberFormat="1" applyFont="1" applyFill="1" applyBorder="1" applyAlignment="1">
      <alignment vertical="center"/>
    </xf>
    <xf numFmtId="170" fontId="73" fillId="28" borderId="64" xfId="0" applyNumberFormat="1" applyFont="1" applyFill="1" applyBorder="1" applyAlignment="1">
      <alignment horizontal="right" vertical="center"/>
    </xf>
    <xf numFmtId="192" fontId="73" fillId="28" borderId="64" xfId="0" applyNumberFormat="1" applyFont="1" applyFill="1" applyBorder="1" applyAlignment="1">
      <alignment horizontal="right" vertical="center"/>
    </xf>
    <xf numFmtId="0" fontId="34" fillId="0" borderId="17" xfId="0" applyFont="1" applyBorder="1" applyAlignment="1">
      <alignment vertical="center"/>
    </xf>
    <xf numFmtId="170" fontId="34" fillId="0" borderId="17" xfId="0" applyNumberFormat="1" applyFont="1" applyBorder="1" applyAlignment="1">
      <alignment horizontal="right" vertical="center"/>
    </xf>
    <xf numFmtId="172" fontId="73" fillId="28" borderId="64" xfId="0" applyNumberFormat="1" applyFont="1" applyFill="1" applyBorder="1" applyAlignment="1">
      <alignment horizontal="right" vertical="center"/>
    </xf>
    <xf numFmtId="171" fontId="73" fillId="28" borderId="64" xfId="0" applyNumberFormat="1" applyFont="1" applyFill="1" applyBorder="1" applyAlignment="1">
      <alignment horizontal="right" vertical="center"/>
    </xf>
    <xf numFmtId="170" fontId="20" fillId="0" borderId="3" xfId="0" applyNumberFormat="1" applyFont="1" applyBorder="1" applyAlignment="1">
      <alignment vertical="center"/>
    </xf>
    <xf numFmtId="170" fontId="20" fillId="0" borderId="3" xfId="0" applyNumberFormat="1" applyFont="1" applyBorder="1">
      <alignment horizontal="center" vertical="center"/>
    </xf>
    <xf numFmtId="170" fontId="20" fillId="0" borderId="3" xfId="0" applyNumberFormat="1" applyFont="1" applyBorder="1" applyAlignment="1">
      <alignment horizontal="left" vertical="center"/>
    </xf>
    <xf numFmtId="0" fontId="20" fillId="0" borderId="3" xfId="0" applyFont="1" applyBorder="1">
      <alignment horizontal="center" vertical="center"/>
    </xf>
    <xf numFmtId="172" fontId="20" fillId="0" borderId="3" xfId="0" applyNumberFormat="1" applyFont="1" applyBorder="1">
      <alignment horizontal="center" vertical="center"/>
    </xf>
    <xf numFmtId="174" fontId="20" fillId="0" borderId="3" xfId="0" applyNumberFormat="1" applyFont="1" applyBorder="1">
      <alignment horizontal="center" vertical="center"/>
    </xf>
    <xf numFmtId="174" fontId="20" fillId="11" borderId="5" xfId="1" applyNumberFormat="1" applyFont="1" applyFill="1" applyBorder="1" applyAlignment="1">
      <alignment horizontal="center" vertical="center"/>
    </xf>
    <xf numFmtId="0" fontId="58" fillId="29" borderId="0" xfId="0" applyFont="1" applyFill="1">
      <alignment horizontal="center" vertical="center"/>
    </xf>
    <xf numFmtId="170" fontId="77" fillId="29" borderId="0" xfId="0" applyNumberFormat="1" applyFont="1" applyFill="1" applyAlignment="1">
      <alignment vertical="center"/>
    </xf>
    <xf numFmtId="170" fontId="75" fillId="29" borderId="0" xfId="0" applyNumberFormat="1" applyFont="1" applyFill="1" applyAlignment="1">
      <alignment vertical="center"/>
    </xf>
    <xf numFmtId="0" fontId="76" fillId="29" borderId="0" xfId="0" applyFont="1" applyFill="1">
      <alignment horizontal="center" vertical="center"/>
    </xf>
    <xf numFmtId="170" fontId="76" fillId="29" borderId="0" xfId="0" applyNumberFormat="1" applyFont="1" applyFill="1">
      <alignment horizontal="center" vertical="center"/>
    </xf>
    <xf numFmtId="0" fontId="35" fillId="29" borderId="0" xfId="0" applyFont="1" applyFill="1">
      <alignment horizontal="center" vertical="center"/>
    </xf>
    <xf numFmtId="170" fontId="78" fillId="29" borderId="0" xfId="0" applyNumberFormat="1" applyFont="1" applyFill="1" applyAlignment="1">
      <alignment vertical="center"/>
    </xf>
    <xf numFmtId="2" fontId="34" fillId="0" borderId="4" xfId="0" applyNumberFormat="1" applyFont="1" applyBorder="1" applyAlignment="1">
      <alignment vertical="center"/>
    </xf>
    <xf numFmtId="172" fontId="34" fillId="0" borderId="4" xfId="0" applyNumberFormat="1" applyFont="1" applyBorder="1" applyAlignment="1">
      <alignment vertical="center"/>
    </xf>
    <xf numFmtId="2" fontId="35" fillId="29" borderId="4" xfId="0" applyNumberFormat="1" applyFont="1" applyFill="1" applyBorder="1" applyAlignment="1">
      <alignment vertical="center"/>
    </xf>
    <xf numFmtId="176" fontId="35" fillId="29" borderId="9" xfId="0" applyNumberFormat="1" applyFont="1" applyFill="1" applyBorder="1" applyAlignment="1">
      <alignment vertical="center"/>
    </xf>
    <xf numFmtId="172" fontId="73" fillId="29" borderId="13" xfId="0" applyNumberFormat="1" applyFont="1" applyFill="1" applyBorder="1" applyAlignment="1">
      <alignment horizontal="right" vertical="center" wrapText="1"/>
    </xf>
    <xf numFmtId="0" fontId="40" fillId="3" borderId="21" xfId="0" applyFont="1" applyFill="1" applyBorder="1" applyAlignment="1">
      <alignment horizontal="centerContinuous" vertical="center" wrapText="1"/>
    </xf>
    <xf numFmtId="14" fontId="0" fillId="0" borderId="21" xfId="0" quotePrefix="1" applyNumberFormat="1" applyBorder="1">
      <alignment horizontal="center" vertical="center"/>
    </xf>
    <xf numFmtId="14" fontId="0" fillId="0" borderId="21" xfId="0" applyNumberFormat="1" applyBorder="1">
      <alignment horizontal="center" vertical="center"/>
    </xf>
    <xf numFmtId="0" fontId="0" fillId="0" borderId="21" xfId="0" applyBorder="1">
      <alignment horizontal="center" vertical="center"/>
    </xf>
    <xf numFmtId="0" fontId="0" fillId="0" borderId="21" xfId="0" applyBorder="1" applyAlignment="1">
      <alignment vertical="center" wrapText="1"/>
    </xf>
    <xf numFmtId="0" fontId="0" fillId="0" borderId="21" xfId="0" quotePrefix="1" applyBorder="1">
      <alignment horizontal="center" vertical="center"/>
    </xf>
    <xf numFmtId="0" fontId="0" fillId="0" borderId="21" xfId="0" applyBorder="1" applyAlignment="1">
      <alignment vertical="center"/>
    </xf>
    <xf numFmtId="0" fontId="34" fillId="0" borderId="0" xfId="0" applyFont="1" applyAlignment="1">
      <alignment horizontal="center" vertical="center" wrapText="1"/>
    </xf>
    <xf numFmtId="0" fontId="81" fillId="0" borderId="0" xfId="0" applyFont="1" applyAlignment="1">
      <alignment horizontal="left" vertical="center"/>
    </xf>
    <xf numFmtId="186" fontId="20" fillId="11" borderId="0" xfId="0" applyNumberFormat="1" applyFont="1" applyFill="1">
      <alignment horizontal="center" vertical="center"/>
    </xf>
    <xf numFmtId="212" fontId="20" fillId="12" borderId="0" xfId="0" applyNumberFormat="1" applyFont="1" applyFill="1">
      <alignment horizontal="center" vertical="center"/>
    </xf>
    <xf numFmtId="213" fontId="20" fillId="12" borderId="0" xfId="0" applyNumberFormat="1" applyFont="1" applyFill="1">
      <alignment horizontal="center" vertical="center"/>
    </xf>
    <xf numFmtId="202" fontId="20" fillId="12" borderId="0" xfId="0" applyNumberFormat="1" applyFont="1" applyFill="1">
      <alignment horizontal="center" vertical="center"/>
    </xf>
    <xf numFmtId="188" fontId="20" fillId="11" borderId="0" xfId="0" applyNumberFormat="1" applyFont="1" applyFill="1">
      <alignment horizontal="center" vertical="center"/>
    </xf>
    <xf numFmtId="206" fontId="20" fillId="11" borderId="0" xfId="0" applyNumberFormat="1" applyFont="1" applyFill="1">
      <alignment horizontal="center" vertical="center"/>
    </xf>
    <xf numFmtId="207" fontId="20" fillId="11" borderId="0" xfId="0" applyNumberFormat="1" applyFont="1" applyFill="1">
      <alignment horizontal="center" vertical="center"/>
    </xf>
    <xf numFmtId="197" fontId="20" fillId="11" borderId="0" xfId="0" applyNumberFormat="1" applyFont="1" applyFill="1">
      <alignment horizontal="center" vertical="center"/>
    </xf>
    <xf numFmtId="198" fontId="20" fillId="11" borderId="0" xfId="0" applyNumberFormat="1" applyFont="1" applyFill="1">
      <alignment horizontal="center" vertical="center"/>
    </xf>
    <xf numFmtId="199" fontId="20" fillId="11" borderId="0" xfId="0" applyNumberFormat="1" applyFont="1" applyFill="1">
      <alignment horizontal="center" vertical="center"/>
    </xf>
    <xf numFmtId="200" fontId="20" fillId="11" borderId="0" xfId="0" applyNumberFormat="1" applyFont="1" applyFill="1">
      <alignment horizontal="center" vertical="center"/>
    </xf>
    <xf numFmtId="202" fontId="20" fillId="11" borderId="0" xfId="0" applyNumberFormat="1" applyFont="1" applyFill="1">
      <alignment horizontal="center" vertical="center"/>
    </xf>
    <xf numFmtId="206" fontId="20" fillId="12" borderId="0" xfId="0" applyNumberFormat="1" applyFont="1" applyFill="1">
      <alignment horizontal="center" vertical="center"/>
    </xf>
    <xf numFmtId="207" fontId="20" fillId="12" borderId="0" xfId="0" applyNumberFormat="1" applyFont="1" applyFill="1">
      <alignment horizontal="center" vertical="center"/>
    </xf>
    <xf numFmtId="211" fontId="0" fillId="12" borderId="0" xfId="0" applyNumberFormat="1" applyFill="1">
      <alignment horizontal="center" vertical="center"/>
    </xf>
    <xf numFmtId="0" fontId="22" fillId="0" borderId="0" xfId="6" applyFont="1" applyAlignment="1">
      <alignment horizontal="center"/>
    </xf>
    <xf numFmtId="170" fontId="0" fillId="11" borderId="0" xfId="0" applyNumberFormat="1" applyFill="1">
      <alignment horizontal="center" vertical="center"/>
    </xf>
    <xf numFmtId="183" fontId="0" fillId="11" borderId="0" xfId="0" applyNumberFormat="1" applyFill="1">
      <alignment horizontal="center" vertical="center"/>
    </xf>
    <xf numFmtId="0" fontId="22" fillId="0" borderId="0" xfId="0" applyFont="1">
      <alignment horizontal="center" vertical="center"/>
    </xf>
    <xf numFmtId="0" fontId="22" fillId="0" borderId="0" xfId="0" applyFont="1" applyAlignment="1">
      <alignment horizontal="right" vertical="center"/>
    </xf>
    <xf numFmtId="0" fontId="15" fillId="31" borderId="79" xfId="0" applyFont="1" applyFill="1" applyBorder="1">
      <alignment horizontal="center" vertical="center"/>
    </xf>
    <xf numFmtId="0" fontId="0" fillId="31" borderId="81" xfId="0" applyFill="1" applyBorder="1" applyAlignment="1">
      <alignment horizontal="right" vertical="center"/>
    </xf>
    <xf numFmtId="0" fontId="16" fillId="31" borderId="80" xfId="0" applyFont="1" applyFill="1" applyBorder="1" applyAlignment="1">
      <alignment horizontal="left" vertical="center"/>
    </xf>
    <xf numFmtId="0" fontId="81" fillId="0" borderId="0" xfId="0" applyFont="1" applyAlignment="1">
      <alignment vertical="center"/>
    </xf>
    <xf numFmtId="0" fontId="34" fillId="5" borderId="72" xfId="0" applyFont="1" applyFill="1" applyBorder="1">
      <alignment horizontal="center" vertical="center"/>
    </xf>
    <xf numFmtId="0" fontId="40" fillId="5" borderId="0" xfId="0" applyFont="1" applyFill="1" applyAlignment="1">
      <alignment horizontal="left" vertical="center"/>
    </xf>
    <xf numFmtId="0" fontId="79" fillId="5" borderId="77" xfId="0" applyFont="1" applyFill="1" applyBorder="1" applyAlignment="1">
      <alignment horizontal="left" vertical="center"/>
    </xf>
    <xf numFmtId="0" fontId="34" fillId="5" borderId="78" xfId="0" applyFont="1" applyFill="1" applyBorder="1">
      <alignment horizontal="center" vertical="center"/>
    </xf>
    <xf numFmtId="0" fontId="34" fillId="5" borderId="71" xfId="0" applyFont="1" applyFill="1" applyBorder="1">
      <alignment horizontal="center" vertical="center"/>
    </xf>
    <xf numFmtId="0" fontId="34" fillId="5" borderId="72" xfId="0" applyFont="1" applyFill="1" applyBorder="1" applyAlignment="1">
      <alignment vertical="center"/>
    </xf>
    <xf numFmtId="0" fontId="34" fillId="5" borderId="73" xfId="0" applyFont="1" applyFill="1" applyBorder="1">
      <alignment horizontal="center" vertical="center"/>
    </xf>
    <xf numFmtId="0" fontId="34" fillId="5" borderId="74" xfId="0" applyFont="1" applyFill="1" applyBorder="1">
      <alignment horizontal="center" vertical="center"/>
    </xf>
    <xf numFmtId="0" fontId="34" fillId="5" borderId="75" xfId="0" applyFont="1" applyFill="1" applyBorder="1">
      <alignment horizontal="center" vertical="center"/>
    </xf>
    <xf numFmtId="0" fontId="34" fillId="5" borderId="76" xfId="0" applyFont="1" applyFill="1" applyBorder="1">
      <alignment horizontal="center" vertical="center"/>
    </xf>
    <xf numFmtId="0" fontId="34" fillId="5" borderId="77" xfId="0" applyFont="1" applyFill="1" applyBorder="1" applyAlignment="1">
      <alignment vertical="center"/>
    </xf>
    <xf numFmtId="0" fontId="34" fillId="5" borderId="77" xfId="0" applyFont="1" applyFill="1" applyBorder="1">
      <alignment horizontal="center" vertical="center"/>
    </xf>
    <xf numFmtId="0" fontId="37" fillId="5" borderId="74" xfId="0" applyFont="1" applyFill="1" applyBorder="1" applyAlignment="1">
      <alignment horizontal="left" vertical="center" indent="2"/>
    </xf>
    <xf numFmtId="0" fontId="37" fillId="5" borderId="76" xfId="0" applyFont="1" applyFill="1" applyBorder="1" applyAlignment="1">
      <alignment horizontal="left" vertical="center" indent="2"/>
    </xf>
    <xf numFmtId="0" fontId="37" fillId="5" borderId="0" xfId="0" applyFont="1" applyFill="1" applyAlignment="1">
      <alignment horizontal="left" vertical="center" indent="2"/>
    </xf>
    <xf numFmtId="0" fontId="79" fillId="5" borderId="0" xfId="0" applyFont="1" applyFill="1" applyAlignment="1">
      <alignment horizontal="left" vertical="center"/>
    </xf>
    <xf numFmtId="0" fontId="82" fillId="5" borderId="0" xfId="0" applyFont="1" applyFill="1" applyAlignment="1">
      <alignment horizontal="left" vertical="center"/>
    </xf>
    <xf numFmtId="9" fontId="34" fillId="5" borderId="75" xfId="1" applyFont="1" applyFill="1" applyBorder="1" applyAlignment="1">
      <alignment horizontal="center" vertical="center"/>
    </xf>
    <xf numFmtId="0" fontId="79" fillId="5" borderId="77" xfId="0" applyFont="1" applyFill="1" applyBorder="1">
      <alignment horizontal="center" vertical="center"/>
    </xf>
    <xf numFmtId="0" fontId="82" fillId="5" borderId="72" xfId="0" applyFont="1" applyFill="1" applyBorder="1">
      <alignment horizontal="center" vertical="center"/>
    </xf>
    <xf numFmtId="0" fontId="64" fillId="5" borderId="74" xfId="0" applyFont="1" applyFill="1" applyBorder="1" applyAlignment="1">
      <alignment horizontal="left" vertical="center"/>
    </xf>
    <xf numFmtId="0" fontId="40" fillId="5" borderId="74" xfId="0" applyFont="1" applyFill="1" applyBorder="1" applyAlignment="1">
      <alignment horizontal="left" vertical="center"/>
    </xf>
    <xf numFmtId="0" fontId="34" fillId="0" borderId="77" xfId="0" applyFont="1" applyBorder="1">
      <alignment horizontal="center" vertical="center"/>
    </xf>
    <xf numFmtId="0" fontId="82" fillId="5" borderId="72" xfId="0" applyFont="1" applyFill="1" applyBorder="1" applyAlignment="1">
      <alignment horizontal="left" vertical="center"/>
    </xf>
    <xf numFmtId="0" fontId="64" fillId="5" borderId="71" xfId="0" applyFont="1" applyFill="1" applyBorder="1" applyAlignment="1">
      <alignment horizontal="left" vertical="center"/>
    </xf>
    <xf numFmtId="0" fontId="79" fillId="5" borderId="76" xfId="0" applyFont="1" applyFill="1" applyBorder="1">
      <alignment horizontal="center" vertical="center"/>
    </xf>
    <xf numFmtId="2" fontId="34" fillId="5" borderId="77" xfId="0" applyNumberFormat="1" applyFont="1" applyFill="1" applyBorder="1">
      <alignment horizontal="center" vertical="center"/>
    </xf>
    <xf numFmtId="203" fontId="34" fillId="5" borderId="72" xfId="0" applyNumberFormat="1" applyFont="1" applyFill="1" applyBorder="1">
      <alignment horizontal="center" vertical="center"/>
    </xf>
    <xf numFmtId="203" fontId="34" fillId="5" borderId="0" xfId="0" applyNumberFormat="1" applyFont="1" applyFill="1">
      <alignment horizontal="center" vertical="center"/>
    </xf>
    <xf numFmtId="0" fontId="37" fillId="5" borderId="72" xfId="0" applyFont="1" applyFill="1" applyBorder="1">
      <alignment horizontal="center" vertical="center"/>
    </xf>
    <xf numFmtId="205" fontId="34" fillId="5" borderId="0" xfId="0" applyNumberFormat="1" applyFont="1" applyFill="1">
      <alignment horizontal="center" vertical="center"/>
    </xf>
    <xf numFmtId="210" fontId="34" fillId="5" borderId="0" xfId="0" applyNumberFormat="1" applyFont="1" applyFill="1">
      <alignment horizontal="center" vertical="center"/>
    </xf>
    <xf numFmtId="172" fontId="34" fillId="5" borderId="77" xfId="0" applyNumberFormat="1" applyFont="1" applyFill="1" applyBorder="1">
      <alignment horizontal="center" vertical="center"/>
    </xf>
    <xf numFmtId="2" fontId="34" fillId="5" borderId="75" xfId="0" applyNumberFormat="1" applyFont="1" applyFill="1" applyBorder="1">
      <alignment horizontal="center" vertical="center"/>
    </xf>
    <xf numFmtId="2" fontId="34" fillId="5" borderId="78" xfId="0" applyNumberFormat="1" applyFont="1" applyFill="1" applyBorder="1">
      <alignment horizontal="center" vertical="center"/>
    </xf>
    <xf numFmtId="209" fontId="39" fillId="0" borderId="0" xfId="0" applyNumberFormat="1" applyFont="1" applyAlignment="1">
      <alignment horizontal="right" vertical="center"/>
    </xf>
    <xf numFmtId="170" fontId="40" fillId="0" borderId="0" xfId="0" applyNumberFormat="1" applyFont="1" applyAlignment="1">
      <alignment horizontal="left" vertical="center"/>
    </xf>
    <xf numFmtId="0" fontId="79" fillId="0" borderId="0" xfId="0" applyFont="1" applyAlignment="1">
      <alignment horizontal="left" vertical="center"/>
    </xf>
    <xf numFmtId="0" fontId="83" fillId="0" borderId="0" xfId="0" applyFont="1" applyAlignment="1">
      <alignment horizontal="left" vertical="center"/>
    </xf>
    <xf numFmtId="0" fontId="34" fillId="5" borderId="71" xfId="0" applyFont="1" applyFill="1" applyBorder="1" applyAlignment="1">
      <alignment vertical="center"/>
    </xf>
    <xf numFmtId="0" fontId="34" fillId="5" borderId="73" xfId="0" applyFont="1" applyFill="1" applyBorder="1" applyAlignment="1">
      <alignment vertical="center"/>
    </xf>
    <xf numFmtId="0" fontId="34" fillId="5" borderId="74" xfId="0" applyFont="1" applyFill="1" applyBorder="1" applyAlignment="1">
      <alignment vertical="center"/>
    </xf>
    <xf numFmtId="0" fontId="34" fillId="5" borderId="75" xfId="0" applyFont="1" applyFill="1" applyBorder="1" applyAlignment="1">
      <alignment vertical="center"/>
    </xf>
    <xf numFmtId="0" fontId="34" fillId="5" borderId="76" xfId="0" applyFont="1" applyFill="1" applyBorder="1" applyAlignment="1">
      <alignment vertical="center"/>
    </xf>
    <xf numFmtId="0" fontId="34" fillId="5" borderId="78" xfId="0" applyFont="1" applyFill="1" applyBorder="1" applyAlignment="1">
      <alignment vertical="center"/>
    </xf>
    <xf numFmtId="0" fontId="80" fillId="0" borderId="0" xfId="0" applyFont="1" applyAlignment="1">
      <alignment vertical="center"/>
    </xf>
    <xf numFmtId="0" fontId="0" fillId="5" borderId="72" xfId="0" applyFill="1" applyBorder="1">
      <alignment horizontal="center" vertical="center"/>
    </xf>
    <xf numFmtId="0" fontId="0" fillId="5" borderId="73" xfId="0" applyFill="1" applyBorder="1">
      <alignment horizontal="center" vertical="center"/>
    </xf>
    <xf numFmtId="0" fontId="0" fillId="5" borderId="74" xfId="0" applyFill="1" applyBorder="1">
      <alignment horizontal="center" vertical="center"/>
    </xf>
    <xf numFmtId="0" fontId="0" fillId="5" borderId="75" xfId="0" applyFill="1" applyBorder="1">
      <alignment horizontal="center" vertical="center"/>
    </xf>
    <xf numFmtId="0" fontId="0" fillId="5" borderId="76" xfId="0" applyFill="1" applyBorder="1">
      <alignment horizontal="center" vertical="center"/>
    </xf>
    <xf numFmtId="0" fontId="0" fillId="5" borderId="77" xfId="0" applyFill="1" applyBorder="1">
      <alignment horizontal="center" vertical="center"/>
    </xf>
    <xf numFmtId="0" fontId="0" fillId="5" borderId="78" xfId="0" applyFill="1" applyBorder="1">
      <alignment horizontal="center" vertical="center"/>
    </xf>
    <xf numFmtId="0" fontId="0" fillId="5" borderId="71" xfId="0" applyFill="1" applyBorder="1" applyAlignment="1">
      <alignment horizontal="left" vertical="center"/>
    </xf>
    <xf numFmtId="0" fontId="0" fillId="5" borderId="0" xfId="0" applyFill="1" applyAlignment="1">
      <alignment horizontal="left"/>
    </xf>
    <xf numFmtId="0" fontId="0" fillId="5" borderId="0" xfId="0" applyFill="1" applyAlignment="1">
      <alignment horizontal="center"/>
    </xf>
    <xf numFmtId="0" fontId="0" fillId="5" borderId="71" xfId="0" applyFill="1" applyBorder="1" applyAlignment="1">
      <alignment horizontal="left" vertical="center" indent="1"/>
    </xf>
    <xf numFmtId="0" fontId="0" fillId="5" borderId="72" xfId="0" applyFill="1" applyBorder="1" applyAlignment="1">
      <alignment horizontal="left"/>
    </xf>
    <xf numFmtId="0" fontId="0" fillId="5" borderId="72" xfId="0" applyFill="1" applyBorder="1" applyAlignment="1">
      <alignment horizontal="center"/>
    </xf>
    <xf numFmtId="170" fontId="0" fillId="5" borderId="73" xfId="0" applyNumberFormat="1" applyFill="1" applyBorder="1">
      <alignment horizontal="center" vertical="center"/>
    </xf>
    <xf numFmtId="0" fontId="0" fillId="5" borderId="74" xfId="0" applyFill="1" applyBorder="1" applyAlignment="1">
      <alignment horizontal="left" vertical="center" indent="1"/>
    </xf>
    <xf numFmtId="170" fontId="0" fillId="5" borderId="75" xfId="0" applyNumberFormat="1" applyFill="1" applyBorder="1">
      <alignment horizontal="center" vertical="center"/>
    </xf>
    <xf numFmtId="0" fontId="0" fillId="5" borderId="76" xfId="0" applyFill="1" applyBorder="1" applyAlignment="1">
      <alignment horizontal="left" vertical="center" indent="1"/>
    </xf>
    <xf numFmtId="0" fontId="0" fillId="5" borderId="77" xfId="0" applyFill="1" applyBorder="1" applyAlignment="1">
      <alignment horizontal="left"/>
    </xf>
    <xf numFmtId="0" fontId="0" fillId="5" borderId="77" xfId="0" applyFill="1" applyBorder="1" applyAlignment="1">
      <alignment horizontal="center"/>
    </xf>
    <xf numFmtId="170" fontId="0" fillId="5" borderId="78" xfId="0" applyNumberFormat="1" applyFill="1" applyBorder="1">
      <alignment horizontal="center" vertical="center"/>
    </xf>
    <xf numFmtId="0" fontId="79" fillId="5" borderId="76" xfId="0" applyFont="1" applyFill="1" applyBorder="1" applyAlignment="1">
      <alignment horizontal="left" vertical="center"/>
    </xf>
    <xf numFmtId="0" fontId="0" fillId="5" borderId="73" xfId="0" applyFill="1" applyBorder="1" applyAlignment="1">
      <alignment horizontal="center"/>
    </xf>
    <xf numFmtId="0" fontId="0" fillId="5" borderId="74" xfId="0" applyFill="1" applyBorder="1" applyAlignment="1">
      <alignment horizontal="center"/>
    </xf>
    <xf numFmtId="0" fontId="0" fillId="5" borderId="75" xfId="0" applyFill="1" applyBorder="1" applyAlignment="1">
      <alignment horizontal="center"/>
    </xf>
    <xf numFmtId="0" fontId="0" fillId="5" borderId="76" xfId="0" applyFill="1" applyBorder="1" applyAlignment="1">
      <alignment horizontal="center"/>
    </xf>
    <xf numFmtId="0" fontId="16" fillId="0" borderId="0" xfId="0" applyFont="1" applyAlignment="1">
      <alignment vertical="center"/>
    </xf>
    <xf numFmtId="0" fontId="82" fillId="0" borderId="0" xfId="0" applyFont="1" applyAlignment="1">
      <alignment horizontal="left" vertical="center"/>
    </xf>
    <xf numFmtId="0" fontId="16" fillId="0" borderId="0" xfId="0" applyFont="1" applyAlignment="1">
      <alignment horizontal="left" vertical="center" indent="1"/>
    </xf>
    <xf numFmtId="0" fontId="0" fillId="5" borderId="74" xfId="0" applyFill="1" applyBorder="1" applyAlignment="1">
      <alignment horizontal="left" vertical="center"/>
    </xf>
    <xf numFmtId="0" fontId="84" fillId="0" borderId="0" xfId="0" applyFont="1" applyAlignment="1">
      <alignment vertical="center"/>
    </xf>
    <xf numFmtId="0" fontId="0" fillId="5" borderId="72" xfId="0" applyFill="1" applyBorder="1" applyAlignment="1">
      <alignment vertical="center"/>
    </xf>
    <xf numFmtId="0" fontId="0" fillId="5" borderId="73" xfId="0" applyFill="1" applyBorder="1" applyAlignment="1">
      <alignment vertical="center"/>
    </xf>
    <xf numFmtId="0" fontId="0" fillId="5" borderId="74" xfId="0" applyFill="1" applyBorder="1" applyAlignment="1">
      <alignment vertical="center"/>
    </xf>
    <xf numFmtId="0" fontId="0" fillId="5" borderId="75" xfId="0" applyFill="1" applyBorder="1" applyAlignment="1">
      <alignment vertical="center"/>
    </xf>
    <xf numFmtId="0" fontId="0" fillId="5" borderId="76" xfId="0" applyFill="1" applyBorder="1" applyAlignment="1">
      <alignment vertical="center"/>
    </xf>
    <xf numFmtId="0" fontId="0" fillId="5" borderId="77" xfId="0" applyFill="1" applyBorder="1" applyAlignment="1">
      <alignment vertical="center"/>
    </xf>
    <xf numFmtId="0" fontId="0" fillId="5" borderId="78" xfId="0" applyFill="1" applyBorder="1" applyAlignment="1">
      <alignment vertical="center"/>
    </xf>
    <xf numFmtId="0" fontId="0" fillId="5" borderId="71" xfId="0" applyFill="1" applyBorder="1" applyAlignment="1">
      <alignment vertical="center"/>
    </xf>
    <xf numFmtId="0" fontId="24" fillId="11" borderId="0" xfId="0" applyFont="1" applyFill="1" applyAlignment="1">
      <alignment horizontal="left" vertical="center"/>
    </xf>
    <xf numFmtId="170" fontId="76" fillId="29" borderId="0" xfId="0" applyNumberFormat="1" applyFont="1" applyFill="1" applyAlignment="1">
      <alignment horizontal="center" vertical="center" wrapText="1"/>
    </xf>
    <xf numFmtId="0" fontId="40" fillId="0" borderId="0" xfId="0" applyFont="1" applyAlignment="1">
      <alignment vertical="center"/>
    </xf>
    <xf numFmtId="204" fontId="37" fillId="18" borderId="47" xfId="0" applyNumberFormat="1" applyFont="1" applyFill="1" applyBorder="1">
      <alignment horizontal="center" vertical="center"/>
    </xf>
    <xf numFmtId="0" fontId="34" fillId="0" borderId="82" xfId="0" applyFont="1" applyBorder="1">
      <alignment horizontal="center" vertical="center"/>
    </xf>
    <xf numFmtId="0" fontId="16" fillId="0" borderId="77" xfId="0" applyFont="1" applyBorder="1" applyAlignment="1">
      <alignment vertical="center"/>
    </xf>
    <xf numFmtId="0" fontId="40" fillId="0" borderId="0" xfId="0" applyFont="1" applyAlignment="1">
      <alignment horizontal="left" vertical="center"/>
    </xf>
    <xf numFmtId="171" fontId="31" fillId="0" borderId="0" xfId="0" applyNumberFormat="1" applyFont="1" applyAlignment="1">
      <alignment horizontal="center" vertical="top"/>
    </xf>
    <xf numFmtId="170" fontId="16" fillId="0" borderId="0" xfId="0" applyNumberFormat="1" applyFont="1" applyAlignment="1">
      <alignment horizontal="left" vertical="top"/>
    </xf>
    <xf numFmtId="0" fontId="20" fillId="5" borderId="0" xfId="0" applyFont="1" applyFill="1">
      <alignment horizontal="center" vertical="center"/>
    </xf>
    <xf numFmtId="0" fontId="20" fillId="5" borderId="0" xfId="0" applyFont="1" applyFill="1" applyAlignment="1">
      <alignment horizontal="left" vertical="center"/>
    </xf>
    <xf numFmtId="172" fontId="20" fillId="5" borderId="0" xfId="0" applyNumberFormat="1" applyFont="1" applyFill="1">
      <alignment horizontal="center" vertical="center"/>
    </xf>
    <xf numFmtId="175" fontId="20" fillId="5" borderId="0" xfId="0" applyNumberFormat="1" applyFont="1" applyFill="1" applyAlignment="1">
      <alignment vertical="center"/>
    </xf>
    <xf numFmtId="170" fontId="20" fillId="5" borderId="71" xfId="0" applyNumberFormat="1" applyFont="1" applyFill="1" applyBorder="1" applyAlignment="1">
      <alignment vertical="center"/>
    </xf>
    <xf numFmtId="170" fontId="20" fillId="5" borderId="72" xfId="0" applyNumberFormat="1" applyFont="1" applyFill="1" applyBorder="1" applyAlignment="1">
      <alignment vertical="center"/>
    </xf>
    <xf numFmtId="170" fontId="20" fillId="5" borderId="72" xfId="0" applyNumberFormat="1" applyFont="1" applyFill="1" applyBorder="1">
      <alignment horizontal="center" vertical="center"/>
    </xf>
    <xf numFmtId="170" fontId="20" fillId="5" borderId="73" xfId="0" applyNumberFormat="1" applyFont="1" applyFill="1" applyBorder="1" applyAlignment="1">
      <alignment vertical="center"/>
    </xf>
    <xf numFmtId="170" fontId="20" fillId="5" borderId="74" xfId="0" applyNumberFormat="1" applyFont="1" applyFill="1" applyBorder="1" applyAlignment="1">
      <alignment vertical="center"/>
    </xf>
    <xf numFmtId="170" fontId="20" fillId="5" borderId="75" xfId="0" applyNumberFormat="1" applyFont="1" applyFill="1" applyBorder="1" applyAlignment="1">
      <alignment vertical="center"/>
    </xf>
    <xf numFmtId="170" fontId="20" fillId="5" borderId="76" xfId="0" applyNumberFormat="1" applyFont="1" applyFill="1" applyBorder="1" applyAlignment="1">
      <alignment vertical="center"/>
    </xf>
    <xf numFmtId="170" fontId="20" fillId="5" borderId="77" xfId="0" applyNumberFormat="1" applyFont="1" applyFill="1" applyBorder="1" applyAlignment="1">
      <alignment vertical="center"/>
    </xf>
    <xf numFmtId="170" fontId="20" fillId="5" borderId="77" xfId="0" applyNumberFormat="1" applyFont="1" applyFill="1" applyBorder="1">
      <alignment horizontal="center" vertical="center"/>
    </xf>
    <xf numFmtId="170" fontId="20" fillId="5" borderId="78" xfId="0" applyNumberFormat="1" applyFont="1" applyFill="1" applyBorder="1" applyAlignment="1">
      <alignment vertical="center"/>
    </xf>
    <xf numFmtId="170" fontId="20" fillId="5" borderId="72" xfId="0" applyNumberFormat="1" applyFont="1" applyFill="1" applyBorder="1" applyAlignment="1">
      <alignment horizontal="left" vertical="center"/>
    </xf>
    <xf numFmtId="0" fontId="20" fillId="5" borderId="72" xfId="0" applyFont="1" applyFill="1" applyBorder="1">
      <alignment horizontal="center" vertical="center"/>
    </xf>
    <xf numFmtId="0" fontId="20" fillId="5" borderId="72" xfId="0" applyFont="1" applyFill="1" applyBorder="1" applyAlignment="1">
      <alignment horizontal="left" vertical="center"/>
    </xf>
    <xf numFmtId="172" fontId="20" fillId="5" borderId="72" xfId="0" applyNumberFormat="1" applyFont="1" applyFill="1" applyBorder="1">
      <alignment horizontal="center" vertical="center"/>
    </xf>
    <xf numFmtId="0" fontId="20" fillId="5" borderId="73" xfId="0" applyFont="1" applyFill="1" applyBorder="1">
      <alignment horizontal="center" vertical="center"/>
    </xf>
    <xf numFmtId="0" fontId="20" fillId="5" borderId="75" xfId="0" applyFont="1" applyFill="1" applyBorder="1">
      <alignment horizontal="center" vertical="center"/>
    </xf>
    <xf numFmtId="170" fontId="20" fillId="5" borderId="77" xfId="0" applyNumberFormat="1" applyFont="1" applyFill="1" applyBorder="1" applyAlignment="1">
      <alignment horizontal="left" vertical="center"/>
    </xf>
    <xf numFmtId="0" fontId="20" fillId="5" borderId="77" xfId="0" applyFont="1" applyFill="1" applyBorder="1">
      <alignment horizontal="center" vertical="center"/>
    </xf>
    <xf numFmtId="0" fontId="20" fillId="5" borderId="77" xfId="0" applyFont="1" applyFill="1" applyBorder="1" applyAlignment="1">
      <alignment horizontal="left" vertical="center"/>
    </xf>
    <xf numFmtId="172" fontId="20" fillId="5" borderId="77" xfId="0" applyNumberFormat="1" applyFont="1" applyFill="1" applyBorder="1">
      <alignment horizontal="center" vertical="center"/>
    </xf>
    <xf numFmtId="0" fontId="20" fillId="5" borderId="78" xfId="0" applyFont="1" applyFill="1" applyBorder="1">
      <alignment horizontal="center" vertical="center"/>
    </xf>
    <xf numFmtId="0" fontId="79" fillId="0" borderId="0" xfId="0" applyFont="1" applyAlignment="1">
      <alignment vertical="center"/>
    </xf>
    <xf numFmtId="0" fontId="33" fillId="5" borderId="71" xfId="0" applyFont="1" applyFill="1" applyBorder="1" applyAlignment="1">
      <alignment vertical="center"/>
    </xf>
    <xf numFmtId="0" fontId="33" fillId="5" borderId="74" xfId="0" applyFont="1" applyFill="1" applyBorder="1" applyAlignment="1">
      <alignment vertical="center"/>
    </xf>
    <xf numFmtId="0" fontId="33" fillId="5" borderId="76" xfId="0" applyFont="1" applyFill="1" applyBorder="1" applyAlignment="1">
      <alignment vertical="center"/>
    </xf>
    <xf numFmtId="2" fontId="34" fillId="5" borderId="0" xfId="0" applyNumberFormat="1" applyFont="1" applyFill="1">
      <alignment horizontal="center" vertical="center"/>
    </xf>
    <xf numFmtId="9" fontId="34" fillId="5" borderId="0" xfId="1" applyFont="1" applyFill="1" applyBorder="1" applyAlignment="1">
      <alignment horizontal="center" vertical="center"/>
    </xf>
    <xf numFmtId="0" fontId="34" fillId="5" borderId="71" xfId="0" applyFont="1" applyFill="1" applyBorder="1" applyAlignment="1">
      <alignment horizontal="left" vertical="center" indent="1"/>
    </xf>
    <xf numFmtId="0" fontId="34" fillId="5" borderId="74" xfId="0" applyFont="1" applyFill="1" applyBorder="1" applyAlignment="1">
      <alignment horizontal="left" vertical="center" indent="1"/>
    </xf>
    <xf numFmtId="0" fontId="34" fillId="5" borderId="76" xfId="0" applyFont="1" applyFill="1" applyBorder="1" applyAlignment="1">
      <alignment horizontal="left" vertical="center" indent="1"/>
    </xf>
    <xf numFmtId="0" fontId="20" fillId="5" borderId="71" xfId="6" applyFont="1" applyFill="1" applyBorder="1" applyAlignment="1">
      <alignment vertical="center"/>
    </xf>
    <xf numFmtId="211" fontId="20" fillId="5" borderId="72" xfId="0" applyNumberFormat="1" applyFont="1" applyFill="1" applyBorder="1">
      <alignment horizontal="center" vertical="center"/>
    </xf>
    <xf numFmtId="0" fontId="20" fillId="5" borderId="72" xfId="6" applyFont="1" applyFill="1" applyBorder="1" applyAlignment="1">
      <alignment vertical="center"/>
    </xf>
    <xf numFmtId="0" fontId="20" fillId="5" borderId="72" xfId="0" applyFont="1" applyFill="1" applyBorder="1" applyAlignment="1">
      <alignment vertical="center"/>
    </xf>
    <xf numFmtId="0" fontId="20" fillId="5" borderId="74" xfId="6" applyFont="1" applyFill="1" applyBorder="1" applyAlignment="1">
      <alignment vertical="center"/>
    </xf>
    <xf numFmtId="0" fontId="20" fillId="5" borderId="0" xfId="6" applyFont="1" applyFill="1" applyAlignment="1">
      <alignment vertical="center"/>
    </xf>
    <xf numFmtId="0" fontId="20" fillId="5" borderId="0" xfId="0" applyFont="1" applyFill="1" applyAlignment="1">
      <alignment vertical="center"/>
    </xf>
    <xf numFmtId="0" fontId="20" fillId="5" borderId="76" xfId="6" applyFont="1" applyFill="1" applyBorder="1" applyAlignment="1">
      <alignment vertical="center"/>
    </xf>
    <xf numFmtId="0" fontId="20" fillId="5" borderId="77" xfId="6" applyFont="1" applyFill="1" applyBorder="1" applyAlignment="1">
      <alignment vertical="center"/>
    </xf>
    <xf numFmtId="0" fontId="20" fillId="5" borderId="77" xfId="0" applyFont="1" applyFill="1" applyBorder="1" applyAlignment="1">
      <alignment vertical="center"/>
    </xf>
    <xf numFmtId="213" fontId="20" fillId="5" borderId="72" xfId="0" applyNumberFormat="1" applyFont="1" applyFill="1" applyBorder="1">
      <alignment horizontal="center" vertical="center"/>
    </xf>
    <xf numFmtId="174" fontId="20" fillId="5" borderId="72" xfId="0" applyNumberFormat="1" applyFont="1" applyFill="1" applyBorder="1">
      <alignment horizontal="center" vertical="center"/>
    </xf>
    <xf numFmtId="202" fontId="20" fillId="5" borderId="73" xfId="0" applyNumberFormat="1" applyFont="1" applyFill="1" applyBorder="1">
      <alignment horizontal="center" vertical="center"/>
    </xf>
    <xf numFmtId="196" fontId="20" fillId="5" borderId="0" xfId="0" applyNumberFormat="1" applyFont="1" applyFill="1">
      <alignment horizontal="center" vertical="center"/>
    </xf>
    <xf numFmtId="174" fontId="20" fillId="5" borderId="0" xfId="0" applyNumberFormat="1" applyFont="1" applyFill="1">
      <alignment horizontal="center" vertical="center"/>
    </xf>
    <xf numFmtId="185" fontId="20" fillId="5" borderId="0" xfId="0" applyNumberFormat="1" applyFont="1" applyFill="1">
      <alignment horizontal="center" vertical="center"/>
    </xf>
    <xf numFmtId="212" fontId="20" fillId="5" borderId="77" xfId="0" applyNumberFormat="1" applyFont="1" applyFill="1" applyBorder="1">
      <alignment horizontal="center" vertical="center"/>
    </xf>
    <xf numFmtId="174" fontId="20" fillId="5" borderId="77" xfId="0" applyNumberFormat="1" applyFont="1" applyFill="1" applyBorder="1">
      <alignment horizontal="center" vertical="center"/>
    </xf>
    <xf numFmtId="202" fontId="20" fillId="5" borderId="72" xfId="0" applyNumberFormat="1" applyFont="1" applyFill="1" applyBorder="1">
      <alignment horizontal="center" vertical="center"/>
    </xf>
    <xf numFmtId="0" fontId="16" fillId="0" borderId="0" xfId="0" applyFont="1" applyAlignment="1">
      <alignment horizontal="left" vertical="center"/>
    </xf>
    <xf numFmtId="0" fontId="0" fillId="32" borderId="74" xfId="0" applyFill="1" applyBorder="1" applyAlignment="1">
      <alignment horizontal="right" vertical="center"/>
    </xf>
    <xf numFmtId="178" fontId="85" fillId="32" borderId="0" xfId="0" applyNumberFormat="1" applyFont="1" applyFill="1">
      <alignment horizontal="center" vertical="center"/>
    </xf>
    <xf numFmtId="0" fontId="0" fillId="32" borderId="76" xfId="0" applyFill="1" applyBorder="1" applyAlignment="1">
      <alignment horizontal="right" vertical="center"/>
    </xf>
    <xf numFmtId="178" fontId="85" fillId="32" borderId="77" xfId="0" applyNumberFormat="1" applyFont="1" applyFill="1" applyBorder="1">
      <alignment horizontal="center" vertical="center"/>
    </xf>
    <xf numFmtId="0" fontId="0" fillId="32" borderId="74" xfId="0" applyFill="1" applyBorder="1">
      <alignment horizontal="center" vertical="center"/>
    </xf>
    <xf numFmtId="0" fontId="0" fillId="32" borderId="0" xfId="0" applyFill="1">
      <alignment horizontal="center" vertical="center"/>
    </xf>
    <xf numFmtId="0" fontId="0" fillId="32" borderId="76" xfId="0" applyFill="1" applyBorder="1">
      <alignment horizontal="center" vertical="center"/>
    </xf>
    <xf numFmtId="0" fontId="0" fillId="32" borderId="77" xfId="0" applyFill="1" applyBorder="1">
      <alignment horizontal="center" vertical="center"/>
    </xf>
    <xf numFmtId="0" fontId="85" fillId="32" borderId="0" xfId="0" applyFont="1" applyFill="1">
      <alignment horizontal="center" vertical="center"/>
    </xf>
    <xf numFmtId="0" fontId="85" fillId="32" borderId="77" xfId="0" applyFont="1" applyFill="1" applyBorder="1">
      <alignment horizontal="center" vertical="center"/>
    </xf>
    <xf numFmtId="178" fontId="10" fillId="32" borderId="75" xfId="7" applyFill="1" applyBorder="1" applyAlignment="1">
      <alignment horizontal="center" vertical="center"/>
    </xf>
    <xf numFmtId="178" fontId="10" fillId="32" borderId="78" xfId="7" applyFill="1" applyBorder="1" applyAlignment="1">
      <alignment horizontal="center" vertical="center"/>
    </xf>
    <xf numFmtId="0" fontId="0" fillId="32" borderId="75" xfId="0" applyFill="1" applyBorder="1">
      <alignment horizontal="center" vertical="center"/>
    </xf>
    <xf numFmtId="0" fontId="0" fillId="32" borderId="78" xfId="0" applyFill="1" applyBorder="1">
      <alignment horizontal="center" vertical="center"/>
    </xf>
    <xf numFmtId="211" fontId="0" fillId="32" borderId="73" xfId="0" applyNumberFormat="1" applyFill="1" applyBorder="1">
      <alignment horizontal="center" vertical="center"/>
    </xf>
    <xf numFmtId="196" fontId="20" fillId="32" borderId="75" xfId="0" applyNumberFormat="1" applyFont="1" applyFill="1" applyBorder="1">
      <alignment horizontal="center" vertical="center"/>
    </xf>
    <xf numFmtId="185" fontId="20" fillId="32" borderId="75" xfId="0" applyNumberFormat="1" applyFont="1" applyFill="1" applyBorder="1">
      <alignment horizontal="center" vertical="center"/>
    </xf>
    <xf numFmtId="212" fontId="20" fillId="32" borderId="75" xfId="0" applyNumberFormat="1" applyFont="1" applyFill="1" applyBorder="1">
      <alignment horizontal="center" vertical="center"/>
    </xf>
    <xf numFmtId="213" fontId="20" fillId="32" borderId="75" xfId="0" applyNumberFormat="1" applyFont="1" applyFill="1" applyBorder="1">
      <alignment horizontal="center" vertical="center"/>
    </xf>
    <xf numFmtId="174" fontId="20" fillId="32" borderId="75" xfId="0" applyNumberFormat="1" applyFont="1" applyFill="1" applyBorder="1">
      <alignment horizontal="center" vertical="center"/>
    </xf>
    <xf numFmtId="202" fontId="20" fillId="32" borderId="75" xfId="0" applyNumberFormat="1" applyFont="1" applyFill="1" applyBorder="1">
      <alignment horizontal="center" vertical="center"/>
    </xf>
    <xf numFmtId="206" fontId="20" fillId="32" borderId="75" xfId="0" applyNumberFormat="1" applyFont="1" applyFill="1" applyBorder="1">
      <alignment horizontal="center" vertical="center"/>
    </xf>
    <xf numFmtId="207" fontId="20" fillId="32" borderId="78" xfId="0" applyNumberFormat="1" applyFont="1" applyFill="1" applyBorder="1">
      <alignment horizontal="center" vertical="center"/>
    </xf>
    <xf numFmtId="0" fontId="87" fillId="5" borderId="75" xfId="0" applyFont="1" applyFill="1" applyBorder="1" applyAlignment="1">
      <alignment horizontal="left" vertical="center"/>
    </xf>
    <xf numFmtId="0" fontId="87" fillId="5" borderId="78" xfId="0" applyFont="1" applyFill="1" applyBorder="1" applyAlignment="1">
      <alignment horizontal="left" vertical="center"/>
    </xf>
    <xf numFmtId="0" fontId="87" fillId="5" borderId="0" xfId="0" applyFont="1" applyFill="1" applyAlignment="1">
      <alignment horizontal="left" vertical="center"/>
    </xf>
    <xf numFmtId="0" fontId="87" fillId="5" borderId="77" xfId="0" applyFont="1" applyFill="1" applyBorder="1" applyAlignment="1">
      <alignment horizontal="left" vertical="center"/>
    </xf>
    <xf numFmtId="0" fontId="0" fillId="5" borderId="78" xfId="0" applyFill="1" applyBorder="1" applyAlignment="1">
      <alignment horizontal="center"/>
    </xf>
    <xf numFmtId="214" fontId="0" fillId="0" borderId="0" xfId="4" applyNumberFormat="1" applyFont="1" applyFill="1">
      <alignment horizontal="center" vertical="center"/>
    </xf>
    <xf numFmtId="170" fontId="0" fillId="0" borderId="0" xfId="3" applyFont="1" applyFill="1">
      <alignment horizontal="center" vertical="center"/>
    </xf>
    <xf numFmtId="170" fontId="0" fillId="0" borderId="11" xfId="3" applyFont="1" applyFill="1" applyBorder="1">
      <alignment horizontal="center" vertical="center"/>
    </xf>
    <xf numFmtId="170" fontId="0" fillId="0" borderId="4" xfId="3" applyFont="1" applyFill="1" applyBorder="1">
      <alignment horizontal="center" vertical="center"/>
    </xf>
    <xf numFmtId="170" fontId="0" fillId="0" borderId="5" xfId="3" applyFont="1" applyFill="1" applyBorder="1">
      <alignment horizontal="center" vertical="center"/>
    </xf>
    <xf numFmtId="170" fontId="20" fillId="0" borderId="0" xfId="3" applyFont="1" applyFill="1" applyAlignment="1">
      <alignment horizontal="left" vertical="center"/>
    </xf>
    <xf numFmtId="170" fontId="9" fillId="0" borderId="0" xfId="3" applyFill="1">
      <alignment horizontal="center" vertical="center"/>
    </xf>
    <xf numFmtId="172" fontId="24" fillId="11" borderId="0" xfId="0" applyNumberFormat="1" applyFont="1" applyFill="1">
      <alignment horizontal="center" vertical="center"/>
    </xf>
    <xf numFmtId="170" fontId="24" fillId="11" borderId="2" xfId="0" applyNumberFormat="1" applyFont="1" applyFill="1" applyBorder="1">
      <alignment horizontal="center" vertical="center"/>
    </xf>
    <xf numFmtId="173" fontId="24" fillId="11" borderId="5" xfId="0" applyNumberFormat="1" applyFont="1" applyFill="1" applyBorder="1">
      <alignment horizontal="center" vertical="center"/>
    </xf>
    <xf numFmtId="173" fontId="24" fillId="11" borderId="7" xfId="0" applyNumberFormat="1" applyFont="1" applyFill="1" applyBorder="1">
      <alignment horizontal="center" vertical="center"/>
    </xf>
    <xf numFmtId="170" fontId="24" fillId="11" borderId="0" xfId="0" applyNumberFormat="1" applyFont="1" applyFill="1">
      <alignment horizontal="center" vertical="center"/>
    </xf>
    <xf numFmtId="192" fontId="24" fillId="11" borderId="7" xfId="0" applyNumberFormat="1" applyFont="1" applyFill="1" applyBorder="1">
      <alignment horizontal="center" vertical="center"/>
    </xf>
    <xf numFmtId="0" fontId="16" fillId="19" borderId="0" xfId="0" applyFont="1" applyFill="1" applyAlignment="1">
      <alignment horizontal="left" vertical="center"/>
    </xf>
    <xf numFmtId="170" fontId="24" fillId="11" borderId="3" xfId="0" applyNumberFormat="1" applyFont="1" applyFill="1" applyBorder="1">
      <alignment horizontal="center" vertical="center"/>
    </xf>
    <xf numFmtId="174" fontId="24" fillId="11" borderId="5" xfId="0" applyNumberFormat="1" applyFont="1" applyFill="1" applyBorder="1">
      <alignment horizontal="center" vertical="center"/>
    </xf>
    <xf numFmtId="175" fontId="24" fillId="11" borderId="7" xfId="0" applyNumberFormat="1" applyFont="1" applyFill="1" applyBorder="1">
      <alignment horizontal="center" vertical="center"/>
    </xf>
    <xf numFmtId="170" fontId="0" fillId="0" borderId="0" xfId="6" applyNumberFormat="1" applyFont="1" applyAlignment="1">
      <alignment horizontal="left" vertical="center" indent="1"/>
    </xf>
    <xf numFmtId="170" fontId="20" fillId="12" borderId="83" xfId="4" applyNumberFormat="1" applyFont="1" applyBorder="1">
      <alignment horizontal="center" vertical="center"/>
    </xf>
    <xf numFmtId="170" fontId="24" fillId="11" borderId="7" xfId="0" applyNumberFormat="1" applyFont="1" applyFill="1" applyBorder="1">
      <alignment horizontal="center" vertical="center"/>
    </xf>
    <xf numFmtId="173" fontId="24" fillId="11" borderId="5" xfId="4" applyNumberFormat="1" applyFont="1" applyFill="1" applyBorder="1">
      <alignment horizontal="center" vertical="center"/>
    </xf>
    <xf numFmtId="171" fontId="34" fillId="0" borderId="0" xfId="0" applyNumberFormat="1" applyFont="1" applyAlignment="1">
      <alignment vertical="center"/>
    </xf>
    <xf numFmtId="0" fontId="37" fillId="0" borderId="8" xfId="0" applyFont="1" applyBorder="1" applyAlignment="1">
      <alignment horizontal="left" vertical="center" indent="1"/>
    </xf>
    <xf numFmtId="0" fontId="37" fillId="0" borderId="3" xfId="0" applyFont="1" applyBorder="1" applyAlignment="1">
      <alignment vertical="center"/>
    </xf>
    <xf numFmtId="0" fontId="37" fillId="0" borderId="7" xfId="0" applyFont="1" applyBorder="1" applyAlignment="1">
      <alignment horizontal="left" vertical="center" indent="1"/>
    </xf>
    <xf numFmtId="0" fontId="37" fillId="0" borderId="2" xfId="0" applyFont="1" applyBorder="1" applyAlignment="1">
      <alignment vertical="center"/>
    </xf>
    <xf numFmtId="174" fontId="55" fillId="3" borderId="4" xfId="0" applyNumberFormat="1" applyFont="1" applyFill="1" applyBorder="1" applyAlignment="1">
      <alignment horizontal="right" vertical="center"/>
    </xf>
    <xf numFmtId="174" fontId="55" fillId="0" borderId="0" xfId="0" applyNumberFormat="1" applyFont="1" applyAlignment="1">
      <alignment horizontal="right" vertical="center"/>
    </xf>
    <xf numFmtId="170" fontId="24" fillId="11" borderId="0" xfId="6" applyNumberFormat="1" applyFont="1" applyFill="1" applyAlignment="1">
      <alignment horizontal="center" vertical="center"/>
    </xf>
    <xf numFmtId="170" fontId="24" fillId="11" borderId="0" xfId="4" applyNumberFormat="1" applyFont="1" applyFill="1">
      <alignment horizontal="center" vertical="center"/>
    </xf>
    <xf numFmtId="173" fontId="20" fillId="11" borderId="0" xfId="4" applyNumberFormat="1" applyFont="1" applyFill="1">
      <alignment horizontal="center" vertical="center"/>
    </xf>
    <xf numFmtId="174" fontId="24" fillId="11" borderId="7" xfId="1" applyNumberFormat="1" applyFont="1" applyFill="1" applyBorder="1" applyAlignment="1">
      <alignment horizontal="center" vertical="center"/>
    </xf>
    <xf numFmtId="170" fontId="20" fillId="0" borderId="0" xfId="6" applyNumberFormat="1" applyFont="1" applyAlignment="1">
      <alignment horizontal="left" vertical="center" indent="1"/>
    </xf>
    <xf numFmtId="170" fontId="20" fillId="0" borderId="0" xfId="0" applyNumberFormat="1" applyFont="1" applyAlignment="1">
      <alignment horizontal="center" vertical="center" wrapText="1"/>
    </xf>
    <xf numFmtId="174" fontId="24" fillId="11" borderId="11" xfId="0" applyNumberFormat="1" applyFont="1" applyFill="1" applyBorder="1">
      <alignment horizontal="center" vertical="center"/>
    </xf>
    <xf numFmtId="170" fontId="24" fillId="11" borderId="5" xfId="0" applyNumberFormat="1" applyFont="1" applyFill="1" applyBorder="1">
      <alignment horizontal="center" vertical="center"/>
    </xf>
    <xf numFmtId="174" fontId="24" fillId="11" borderId="0" xfId="0" applyNumberFormat="1" applyFont="1" applyFill="1">
      <alignment horizontal="center" vertical="center"/>
    </xf>
    <xf numFmtId="170" fontId="20" fillId="0" borderId="0" xfId="0" applyNumberFormat="1" applyFont="1" applyAlignment="1">
      <alignment horizontal="centerContinuous" vertical="center" wrapText="1"/>
    </xf>
    <xf numFmtId="170" fontId="20" fillId="0" borderId="0" xfId="0" applyNumberFormat="1" applyFont="1" applyAlignment="1">
      <alignment horizontal="right" vertical="center" indent="1"/>
    </xf>
    <xf numFmtId="0" fontId="16" fillId="3" borderId="0" xfId="0" applyFont="1" applyFill="1" applyAlignment="1">
      <alignment horizontal="left" vertical="center" indent="1"/>
    </xf>
    <xf numFmtId="0" fontId="0" fillId="5" borderId="0" xfId="0" applyFill="1" applyAlignment="1">
      <alignment horizontal="left" vertical="center" indent="2"/>
    </xf>
    <xf numFmtId="0" fontId="0" fillId="33" borderId="0" xfId="0" applyFill="1" applyAlignment="1">
      <alignment horizontal="left" vertical="center" indent="3"/>
    </xf>
    <xf numFmtId="0" fontId="0" fillId="0" borderId="0" xfId="0" applyAlignment="1">
      <alignment horizontal="left" vertical="center" wrapText="1" indent="1"/>
    </xf>
    <xf numFmtId="170" fontId="0" fillId="11" borderId="0" xfId="6" applyNumberFormat="1" applyFont="1" applyFill="1" applyAlignment="1">
      <alignment horizontal="center" vertical="center"/>
    </xf>
    <xf numFmtId="0" fontId="20" fillId="0" borderId="0" xfId="0" applyFont="1" applyAlignment="1">
      <alignment horizontal="left" vertical="center" wrapText="1" indent="1"/>
    </xf>
    <xf numFmtId="0" fontId="0" fillId="11" borderId="0" xfId="6" applyFont="1" applyFill="1" applyAlignment="1">
      <alignment horizontal="center" vertical="center"/>
    </xf>
    <xf numFmtId="170" fontId="9" fillId="11" borderId="0" xfId="3">
      <alignment horizontal="center" vertical="center"/>
    </xf>
    <xf numFmtId="170" fontId="9" fillId="11" borderId="0" xfId="3" applyAlignment="1">
      <alignment horizontal="left" vertical="center"/>
    </xf>
    <xf numFmtId="215" fontId="20" fillId="11" borderId="0" xfId="4" applyNumberFormat="1" applyFont="1" applyFill="1">
      <alignment horizontal="center" vertical="center"/>
    </xf>
    <xf numFmtId="216" fontId="20" fillId="11" borderId="0" xfId="4" applyNumberFormat="1" applyFont="1" applyFill="1">
      <alignment horizontal="center" vertical="center"/>
    </xf>
    <xf numFmtId="9" fontId="9" fillId="11" borderId="0" xfId="1" applyFont="1" applyFill="1" applyBorder="1" applyAlignment="1">
      <alignment horizontal="center" vertical="center"/>
    </xf>
    <xf numFmtId="170" fontId="9" fillId="20" borderId="0" xfId="3" applyFill="1">
      <alignment horizontal="center" vertical="center"/>
    </xf>
    <xf numFmtId="215" fontId="9" fillId="11" borderId="0" xfId="3" applyNumberFormat="1">
      <alignment horizontal="center" vertical="center"/>
    </xf>
    <xf numFmtId="172" fontId="24" fillId="11" borderId="0" xfId="0" applyNumberFormat="1" applyFont="1" applyFill="1" applyAlignment="1">
      <alignment vertical="center"/>
    </xf>
    <xf numFmtId="174" fontId="24" fillId="11" borderId="11" xfId="0" applyNumberFormat="1" applyFont="1" applyFill="1" applyBorder="1" applyAlignment="1">
      <alignment vertical="center"/>
    </xf>
    <xf numFmtId="170" fontId="24" fillId="11" borderId="5" xfId="0" applyNumberFormat="1" applyFont="1" applyFill="1" applyBorder="1" applyAlignment="1">
      <alignment horizontal="right" vertical="center"/>
    </xf>
    <xf numFmtId="174" fontId="24" fillId="11" borderId="11" xfId="1" applyNumberFormat="1" applyFont="1" applyFill="1" applyBorder="1" applyAlignment="1">
      <alignment horizontal="center" vertical="center"/>
    </xf>
    <xf numFmtId="174" fontId="24" fillId="11" borderId="5" xfId="1" applyNumberFormat="1" applyFont="1" applyFill="1" applyBorder="1" applyAlignment="1">
      <alignment horizontal="center" vertical="center"/>
    </xf>
    <xf numFmtId="0" fontId="24" fillId="11" borderId="0" xfId="0" applyFont="1" applyFill="1">
      <alignment horizontal="center" vertical="center"/>
    </xf>
    <xf numFmtId="171" fontId="20" fillId="0" borderId="0" xfId="4" applyNumberFormat="1" applyFont="1" applyFill="1">
      <alignment horizontal="center" vertical="center"/>
    </xf>
    <xf numFmtId="172" fontId="20" fillId="0" borderId="0" xfId="0" applyNumberFormat="1" applyFont="1" applyAlignment="1">
      <alignment vertical="center"/>
    </xf>
    <xf numFmtId="172" fontId="24" fillId="0" borderId="0" xfId="0" applyNumberFormat="1" applyFont="1" applyAlignment="1">
      <alignment vertical="center"/>
    </xf>
    <xf numFmtId="170" fontId="20" fillId="0" borderId="0" xfId="0" applyNumberFormat="1" applyFont="1" applyAlignment="1">
      <alignment horizontal="right" vertical="center"/>
    </xf>
    <xf numFmtId="0" fontId="16" fillId="3" borderId="0" xfId="0" applyFont="1" applyFill="1" applyAlignment="1">
      <alignment vertical="center"/>
    </xf>
    <xf numFmtId="0" fontId="16" fillId="3" borderId="0" xfId="0" applyFont="1" applyFill="1">
      <alignment horizontal="center" vertical="center"/>
    </xf>
    <xf numFmtId="0" fontId="16" fillId="5" borderId="0" xfId="0" applyFont="1" applyFill="1" applyAlignment="1">
      <alignment vertical="center"/>
    </xf>
    <xf numFmtId="0" fontId="16" fillId="33" borderId="0" xfId="0" applyFont="1" applyFill="1">
      <alignment horizontal="center" vertical="center"/>
    </xf>
    <xf numFmtId="0" fontId="16" fillId="33" borderId="0" xfId="0" applyFont="1" applyFill="1" applyAlignment="1">
      <alignment horizontal="left" vertical="center" indent="1"/>
    </xf>
    <xf numFmtId="0" fontId="24" fillId="11" borderId="27" xfId="0" applyFont="1" applyFill="1" applyBorder="1">
      <alignment horizontal="center" vertical="center"/>
    </xf>
    <xf numFmtId="0" fontId="24" fillId="11" borderId="29" xfId="0" applyFont="1" applyFill="1" applyBorder="1">
      <alignment horizontal="center" vertical="center"/>
    </xf>
    <xf numFmtId="9" fontId="24" fillId="11" borderId="27" xfId="1" applyFont="1" applyFill="1" applyBorder="1" applyAlignment="1">
      <alignment horizontal="center" vertical="center"/>
    </xf>
    <xf numFmtId="9" fontId="24" fillId="11" borderId="29" xfId="1" applyFont="1" applyFill="1" applyBorder="1" applyAlignment="1">
      <alignment horizontal="center" vertical="center"/>
    </xf>
    <xf numFmtId="173" fontId="24" fillId="11" borderId="0" xfId="0" applyNumberFormat="1" applyFont="1" applyFill="1">
      <alignment horizontal="center" vertical="center"/>
    </xf>
    <xf numFmtId="173" fontId="24" fillId="11" borderId="2" xfId="0" applyNumberFormat="1" applyFont="1" applyFill="1" applyBorder="1">
      <alignment horizontal="center" vertical="center"/>
    </xf>
    <xf numFmtId="174" fontId="24" fillId="11" borderId="7" xfId="0" applyNumberFormat="1" applyFont="1" applyFill="1" applyBorder="1">
      <alignment horizontal="center" vertical="center"/>
    </xf>
    <xf numFmtId="175" fontId="20" fillId="11" borderId="0" xfId="3" applyNumberFormat="1" applyFont="1">
      <alignment horizontal="center" vertical="center"/>
    </xf>
    <xf numFmtId="175" fontId="24" fillId="11" borderId="0" xfId="3" applyNumberFormat="1" applyFont="1" applyAlignment="1">
      <alignment vertical="center"/>
    </xf>
    <xf numFmtId="175" fontId="24" fillId="11" borderId="2" xfId="3" applyNumberFormat="1" applyFont="1" applyBorder="1" applyAlignment="1">
      <alignment vertical="center"/>
    </xf>
    <xf numFmtId="167" fontId="24" fillId="11" borderId="0" xfId="0" applyNumberFormat="1" applyFont="1" applyFill="1">
      <alignment horizontal="center" vertical="center"/>
    </xf>
    <xf numFmtId="167" fontId="24" fillId="11" borderId="2" xfId="0" applyNumberFormat="1" applyFont="1" applyFill="1" applyBorder="1">
      <alignment horizontal="center" vertical="center"/>
    </xf>
    <xf numFmtId="174" fontId="29" fillId="0" borderId="5" xfId="1" applyNumberFormat="1" applyFont="1" applyFill="1" applyBorder="1" applyAlignment="1">
      <alignment horizontal="center" vertical="center"/>
    </xf>
    <xf numFmtId="187" fontId="20" fillId="0" borderId="0" xfId="0" applyNumberFormat="1" applyFont="1">
      <alignment horizontal="center" vertical="center"/>
    </xf>
    <xf numFmtId="174" fontId="20" fillId="0" borderId="5" xfId="1" applyNumberFormat="1" applyFont="1" applyFill="1" applyBorder="1" applyAlignment="1">
      <alignment horizontal="center" vertical="center"/>
    </xf>
    <xf numFmtId="174" fontId="20" fillId="0" borderId="8" xfId="0" applyNumberFormat="1" applyFont="1" applyBorder="1">
      <alignment horizontal="center" vertical="center"/>
    </xf>
    <xf numFmtId="166" fontId="20" fillId="0" borderId="0" xfId="4" applyNumberFormat="1" applyFont="1" applyFill="1">
      <alignment horizontal="center" vertical="center"/>
    </xf>
    <xf numFmtId="187" fontId="20" fillId="11" borderId="0" xfId="0" applyNumberFormat="1" applyFont="1" applyFill="1">
      <alignment horizontal="center" vertical="center"/>
    </xf>
    <xf numFmtId="174" fontId="24" fillId="11" borderId="27" xfId="0" applyNumberFormat="1" applyFont="1" applyFill="1" applyBorder="1">
      <alignment horizontal="center" vertical="center"/>
    </xf>
    <xf numFmtId="172" fontId="24" fillId="11" borderId="5" xfId="0" applyNumberFormat="1" applyFont="1" applyFill="1" applyBorder="1">
      <alignment horizontal="center" vertical="center"/>
    </xf>
    <xf numFmtId="187" fontId="24" fillId="11" borderId="5" xfId="0" applyNumberFormat="1" applyFont="1" applyFill="1" applyBorder="1">
      <alignment horizontal="center" vertical="center"/>
    </xf>
    <xf numFmtId="0" fontId="0" fillId="0" borderId="0" xfId="0" quotePrefix="1" applyAlignment="1">
      <alignment horizontal="left" vertical="center"/>
    </xf>
    <xf numFmtId="170" fontId="24" fillId="11" borderId="28" xfId="0" applyNumberFormat="1" applyFont="1" applyFill="1" applyBorder="1">
      <alignment horizontal="center" vertical="center"/>
    </xf>
    <xf numFmtId="0" fontId="56" fillId="11" borderId="0" xfId="0" applyFont="1" applyFill="1" applyAlignment="1">
      <alignment vertical="center"/>
    </xf>
    <xf numFmtId="0" fontId="16" fillId="3" borderId="0" xfId="0" applyFont="1" applyFill="1" applyAlignment="1">
      <alignment horizontal="left" vertical="center"/>
    </xf>
    <xf numFmtId="0" fontId="24" fillId="11" borderId="0" xfId="0" applyFont="1" applyFill="1" applyAlignment="1">
      <alignment horizontal="center" vertical="center" wrapText="1"/>
    </xf>
    <xf numFmtId="9" fontId="0" fillId="0" borderId="0" xfId="0" applyNumberFormat="1">
      <alignment horizontal="center" vertical="center"/>
    </xf>
    <xf numFmtId="174" fontId="0" fillId="0" borderId="0" xfId="0" applyNumberFormat="1" applyAlignment="1">
      <alignment horizontal="center"/>
    </xf>
    <xf numFmtId="172" fontId="0" fillId="0" borderId="0" xfId="0" applyNumberFormat="1" applyAlignment="1">
      <alignment horizontal="center"/>
    </xf>
    <xf numFmtId="176" fontId="20" fillId="11" borderId="0" xfId="0" applyNumberFormat="1" applyFont="1" applyFill="1">
      <alignment horizontal="center" vertical="center"/>
    </xf>
    <xf numFmtId="2" fontId="0" fillId="0" borderId="0" xfId="4" applyNumberFormat="1" applyFont="1" applyFill="1">
      <alignment horizontal="center" vertical="center"/>
    </xf>
    <xf numFmtId="0" fontId="24" fillId="0" borderId="0" xfId="0" applyFont="1">
      <alignment horizontal="center" vertical="center"/>
    </xf>
    <xf numFmtId="170" fontId="24" fillId="11" borderId="0" xfId="3" applyFont="1">
      <alignment horizontal="center" vertical="center"/>
    </xf>
    <xf numFmtId="170" fontId="24" fillId="11" borderId="11" xfId="3" applyFont="1" applyBorder="1">
      <alignment horizontal="center" vertical="center"/>
    </xf>
    <xf numFmtId="170" fontId="24" fillId="11" borderId="4" xfId="3" applyFont="1" applyBorder="1">
      <alignment horizontal="center" vertical="center"/>
    </xf>
    <xf numFmtId="170" fontId="24" fillId="23" borderId="0" xfId="3" applyFont="1" applyFill="1">
      <alignment horizontal="center" vertical="center"/>
    </xf>
    <xf numFmtId="174" fontId="24" fillId="11" borderId="0" xfId="3" applyNumberFormat="1" applyFont="1">
      <alignment horizontal="center" vertical="center"/>
    </xf>
    <xf numFmtId="174" fontId="24" fillId="11" borderId="11" xfId="3" applyNumberFormat="1" applyFont="1" applyBorder="1">
      <alignment horizontal="center" vertical="center"/>
    </xf>
    <xf numFmtId="174" fontId="24" fillId="11" borderId="4" xfId="3" applyNumberFormat="1" applyFont="1" applyBorder="1">
      <alignment horizontal="center" vertical="center"/>
    </xf>
    <xf numFmtId="210" fontId="24" fillId="11" borderId="0" xfId="6" applyNumberFormat="1" applyFont="1" applyFill="1" applyAlignment="1">
      <alignment horizontal="center"/>
    </xf>
    <xf numFmtId="210" fontId="24" fillId="11" borderId="11" xfId="6" applyNumberFormat="1" applyFont="1" applyFill="1" applyBorder="1" applyAlignment="1">
      <alignment horizontal="center"/>
    </xf>
    <xf numFmtId="170" fontId="24" fillId="11" borderId="5" xfId="3" applyFont="1" applyBorder="1">
      <alignment horizontal="center" vertical="center"/>
    </xf>
    <xf numFmtId="176" fontId="24" fillId="11" borderId="0" xfId="3" applyNumberFormat="1" applyFont="1">
      <alignment horizontal="center" vertical="center"/>
    </xf>
    <xf numFmtId="176" fontId="24" fillId="11" borderId="11" xfId="3" applyNumberFormat="1" applyFont="1" applyBorder="1">
      <alignment horizontal="center" vertical="center"/>
    </xf>
    <xf numFmtId="176" fontId="24" fillId="11" borderId="4" xfId="3" applyNumberFormat="1" applyFont="1" applyBorder="1">
      <alignment horizontal="center" vertical="center"/>
    </xf>
    <xf numFmtId="176" fontId="24" fillId="11" borderId="5" xfId="3" applyNumberFormat="1" applyFont="1" applyBorder="1">
      <alignment horizontal="center" vertical="center"/>
    </xf>
    <xf numFmtId="174" fontId="24" fillId="11" borderId="5" xfId="3" applyNumberFormat="1" applyFont="1" applyBorder="1">
      <alignment horizontal="center" vertical="center"/>
    </xf>
    <xf numFmtId="0" fontId="24" fillId="20" borderId="11" xfId="0" applyFont="1" applyFill="1" applyBorder="1" applyAlignment="1">
      <alignment horizontal="center" wrapText="1"/>
    </xf>
    <xf numFmtId="0" fontId="24" fillId="20" borderId="0" xfId="0" applyFont="1" applyFill="1" applyAlignment="1">
      <alignment horizontal="center" wrapText="1"/>
    </xf>
    <xf numFmtId="176" fontId="24" fillId="23" borderId="0" xfId="3" applyNumberFormat="1" applyFont="1" applyFill="1">
      <alignment horizontal="center" vertical="center"/>
    </xf>
    <xf numFmtId="176" fontId="24" fillId="23" borderId="5" xfId="3" applyNumberFormat="1" applyFont="1" applyFill="1" applyBorder="1">
      <alignment horizontal="center" vertical="center"/>
    </xf>
    <xf numFmtId="167" fontId="24" fillId="11" borderId="0" xfId="3" applyNumberFormat="1" applyFont="1">
      <alignment horizontal="center" vertical="center"/>
    </xf>
    <xf numFmtId="167" fontId="24" fillId="11" borderId="11" xfId="3" applyNumberFormat="1" applyFont="1" applyBorder="1">
      <alignment horizontal="center" vertical="center"/>
    </xf>
    <xf numFmtId="167" fontId="24" fillId="11" borderId="4" xfId="3" applyNumberFormat="1" applyFont="1" applyBorder="1">
      <alignment horizontal="center" vertical="center"/>
    </xf>
    <xf numFmtId="167" fontId="24" fillId="11" borderId="5" xfId="3" applyNumberFormat="1" applyFont="1" applyBorder="1">
      <alignment horizontal="center" vertical="center"/>
    </xf>
    <xf numFmtId="0" fontId="24" fillId="11" borderId="0" xfId="3" applyNumberFormat="1" applyFont="1">
      <alignment horizontal="center" vertical="center"/>
    </xf>
    <xf numFmtId="0" fontId="24" fillId="11" borderId="11" xfId="3" applyNumberFormat="1" applyFont="1" applyBorder="1">
      <alignment horizontal="center" vertical="center"/>
    </xf>
    <xf numFmtId="0" fontId="24" fillId="11" borderId="4" xfId="3" applyNumberFormat="1" applyFont="1" applyBorder="1">
      <alignment horizontal="center" vertical="center"/>
    </xf>
    <xf numFmtId="0" fontId="24" fillId="11" borderId="5" xfId="3" applyNumberFormat="1" applyFont="1" applyBorder="1">
      <alignment horizontal="center" vertical="center"/>
    </xf>
    <xf numFmtId="11" fontId="24" fillId="11" borderId="0" xfId="3" applyNumberFormat="1" applyFont="1">
      <alignment horizontal="center" vertical="center"/>
    </xf>
    <xf numFmtId="11" fontId="24" fillId="11" borderId="11" xfId="3" applyNumberFormat="1" applyFont="1" applyBorder="1">
      <alignment horizontal="center" vertical="center"/>
    </xf>
    <xf numFmtId="11" fontId="24" fillId="11" borderId="4" xfId="3" applyNumberFormat="1" applyFont="1" applyBorder="1">
      <alignment horizontal="center" vertical="center"/>
    </xf>
    <xf numFmtId="11" fontId="24" fillId="11" borderId="5" xfId="3" applyNumberFormat="1" applyFont="1" applyBorder="1">
      <alignment horizontal="center" vertical="center"/>
    </xf>
    <xf numFmtId="170" fontId="24" fillId="20" borderId="11" xfId="3" applyFont="1" applyFill="1" applyBorder="1">
      <alignment horizontal="center" vertical="center"/>
    </xf>
    <xf numFmtId="170" fontId="24" fillId="20" borderId="4" xfId="3" applyFont="1" applyFill="1" applyBorder="1">
      <alignment horizontal="center" vertical="center"/>
    </xf>
    <xf numFmtId="170" fontId="24" fillId="20" borderId="5" xfId="3" applyFont="1" applyFill="1" applyBorder="1">
      <alignment horizontal="center" vertical="center"/>
    </xf>
    <xf numFmtId="174" fontId="24" fillId="0" borderId="0" xfId="0" applyNumberFormat="1" applyFont="1">
      <alignment horizontal="center" vertical="center"/>
    </xf>
    <xf numFmtId="9" fontId="24" fillId="11" borderId="0" xfId="1" applyFont="1" applyFill="1" applyBorder="1" applyAlignment="1">
      <alignment horizontal="center" vertical="center"/>
    </xf>
    <xf numFmtId="9" fontId="24" fillId="23" borderId="11" xfId="1" applyFont="1" applyFill="1" applyBorder="1" applyAlignment="1">
      <alignment horizontal="center" vertical="center"/>
    </xf>
    <xf numFmtId="9" fontId="24" fillId="23" borderId="0" xfId="1" applyFont="1" applyFill="1" applyBorder="1" applyAlignment="1">
      <alignment horizontal="center" vertical="center"/>
    </xf>
    <xf numFmtId="9" fontId="24" fillId="23" borderId="4" xfId="1" applyFont="1" applyFill="1" applyBorder="1" applyAlignment="1">
      <alignment horizontal="center" vertical="center"/>
    </xf>
    <xf numFmtId="9" fontId="24" fillId="11" borderId="5" xfId="1" applyFont="1" applyFill="1" applyBorder="1" applyAlignment="1">
      <alignment horizontal="center" vertical="center"/>
    </xf>
    <xf numFmtId="9" fontId="24" fillId="23" borderId="5" xfId="1" applyFont="1" applyFill="1" applyBorder="1" applyAlignment="1">
      <alignment horizontal="center" vertical="center"/>
    </xf>
    <xf numFmtId="9" fontId="24" fillId="11" borderId="11" xfId="1" applyFont="1" applyFill="1" applyBorder="1" applyAlignment="1">
      <alignment horizontal="center" vertical="center"/>
    </xf>
    <xf numFmtId="9" fontId="24" fillId="11" borderId="4" xfId="1" applyFont="1" applyFill="1" applyBorder="1" applyAlignment="1">
      <alignment horizontal="center" vertical="center"/>
    </xf>
    <xf numFmtId="201" fontId="24" fillId="23" borderId="0" xfId="1" applyNumberFormat="1" applyFont="1" applyFill="1" applyBorder="1" applyAlignment="1">
      <alignment horizontal="center" vertical="center"/>
    </xf>
    <xf numFmtId="9" fontId="24" fillId="20" borderId="0" xfId="1" applyFont="1" applyFill="1" applyBorder="1" applyAlignment="1">
      <alignment horizontal="center" vertical="center"/>
    </xf>
    <xf numFmtId="175" fontId="24" fillId="11" borderId="0" xfId="3" applyNumberFormat="1" applyFont="1">
      <alignment horizontal="center" vertical="center"/>
    </xf>
    <xf numFmtId="175" fontId="24" fillId="11" borderId="11" xfId="3" applyNumberFormat="1" applyFont="1" applyBorder="1">
      <alignment horizontal="center" vertical="center"/>
    </xf>
    <xf numFmtId="175" fontId="24" fillId="11" borderId="4" xfId="3" applyNumberFormat="1" applyFont="1" applyBorder="1">
      <alignment horizontal="center" vertical="center"/>
    </xf>
    <xf numFmtId="175" fontId="24" fillId="11" borderId="5" xfId="3" applyNumberFormat="1" applyFont="1" applyBorder="1">
      <alignment horizontal="center" vertical="center"/>
    </xf>
    <xf numFmtId="172" fontId="24" fillId="11" borderId="0" xfId="3" applyNumberFormat="1" applyFont="1">
      <alignment horizontal="center" vertical="center"/>
    </xf>
    <xf numFmtId="172" fontId="24" fillId="11" borderId="11" xfId="3" applyNumberFormat="1" applyFont="1" applyBorder="1">
      <alignment horizontal="center" vertical="center"/>
    </xf>
    <xf numFmtId="172" fontId="24" fillId="20" borderId="0" xfId="3" applyNumberFormat="1" applyFont="1" applyFill="1">
      <alignment horizontal="center" vertical="center"/>
    </xf>
    <xf numFmtId="172" fontId="24" fillId="20" borderId="4" xfId="3" applyNumberFormat="1" applyFont="1" applyFill="1" applyBorder="1">
      <alignment horizontal="center" vertical="center"/>
    </xf>
    <xf numFmtId="172" fontId="24" fillId="23" borderId="0" xfId="3" applyNumberFormat="1" applyFont="1" applyFill="1">
      <alignment horizontal="center" vertical="center"/>
    </xf>
    <xf numFmtId="172" fontId="24" fillId="23" borderId="5" xfId="3" applyNumberFormat="1" applyFont="1" applyFill="1" applyBorder="1">
      <alignment horizontal="center" vertical="center"/>
    </xf>
    <xf numFmtId="172" fontId="24" fillId="20" borderId="11" xfId="3" applyNumberFormat="1" applyFont="1" applyFill="1" applyBorder="1">
      <alignment horizontal="center" vertical="center"/>
    </xf>
    <xf numFmtId="172" fontId="24" fillId="20" borderId="5" xfId="3" applyNumberFormat="1" applyFont="1" applyFill="1" applyBorder="1">
      <alignment horizontal="center" vertical="center"/>
    </xf>
    <xf numFmtId="0" fontId="24" fillId="0" borderId="0" xfId="6" applyFont="1"/>
    <xf numFmtId="170" fontId="24" fillId="11" borderId="0" xfId="6" applyNumberFormat="1" applyFont="1" applyFill="1" applyAlignment="1">
      <alignment horizontal="center"/>
    </xf>
    <xf numFmtId="170" fontId="24" fillId="11" borderId="11" xfId="6" applyNumberFormat="1" applyFont="1" applyFill="1" applyBorder="1" applyAlignment="1">
      <alignment horizontal="center"/>
    </xf>
    <xf numFmtId="170" fontId="24" fillId="11" borderId="4" xfId="6" applyNumberFormat="1" applyFont="1" applyFill="1" applyBorder="1" applyAlignment="1">
      <alignment horizontal="center"/>
    </xf>
    <xf numFmtId="170" fontId="24" fillId="11" borderId="5" xfId="6" applyNumberFormat="1" applyFont="1" applyFill="1" applyBorder="1" applyAlignment="1">
      <alignment horizontal="center"/>
    </xf>
    <xf numFmtId="9" fontId="24" fillId="11" borderId="0" xfId="6" applyNumberFormat="1" applyFont="1" applyFill="1" applyAlignment="1">
      <alignment horizontal="center"/>
    </xf>
    <xf numFmtId="9" fontId="24" fillId="11" borderId="11" xfId="6" applyNumberFormat="1" applyFont="1" applyFill="1" applyBorder="1" applyAlignment="1">
      <alignment horizontal="center"/>
    </xf>
    <xf numFmtId="9" fontId="24" fillId="11" borderId="4" xfId="6" applyNumberFormat="1" applyFont="1" applyFill="1" applyBorder="1" applyAlignment="1">
      <alignment horizontal="center"/>
    </xf>
    <xf numFmtId="9" fontId="24" fillId="11" borderId="5" xfId="6" applyNumberFormat="1" applyFont="1" applyFill="1" applyBorder="1" applyAlignment="1">
      <alignment horizontal="center"/>
    </xf>
    <xf numFmtId="0" fontId="24" fillId="11" borderId="0" xfId="6" applyFont="1" applyFill="1" applyAlignment="1">
      <alignment horizontal="center"/>
    </xf>
    <xf numFmtId="0" fontId="24" fillId="11" borderId="11" xfId="6" applyFont="1" applyFill="1" applyBorder="1" applyAlignment="1">
      <alignment horizontal="center"/>
    </xf>
    <xf numFmtId="0" fontId="24" fillId="11" borderId="4" xfId="6" applyFont="1" applyFill="1" applyBorder="1" applyAlignment="1">
      <alignment horizontal="center"/>
    </xf>
    <xf numFmtId="0" fontId="24" fillId="11" borderId="5" xfId="6" applyFont="1" applyFill="1" applyBorder="1" applyAlignment="1">
      <alignment horizontal="center"/>
    </xf>
    <xf numFmtId="170" fontId="24" fillId="23" borderId="5" xfId="3" applyFont="1" applyFill="1" applyBorder="1">
      <alignment horizontal="center" vertical="center"/>
    </xf>
    <xf numFmtId="174" fontId="24" fillId="23" borderId="0" xfId="3" applyNumberFormat="1" applyFont="1" applyFill="1">
      <alignment horizontal="center" vertical="center"/>
    </xf>
    <xf numFmtId="174" fontId="24" fillId="23" borderId="5" xfId="3" applyNumberFormat="1" applyFont="1" applyFill="1" applyBorder="1">
      <alignment horizontal="center" vertical="center"/>
    </xf>
    <xf numFmtId="170" fontId="24" fillId="23" borderId="4" xfId="3" applyFont="1" applyFill="1" applyBorder="1">
      <alignment horizontal="center" vertical="center"/>
    </xf>
    <xf numFmtId="170" fontId="24" fillId="23" borderId="11" xfId="3" applyFont="1" applyFill="1" applyBorder="1">
      <alignment horizontal="center" vertical="center"/>
    </xf>
    <xf numFmtId="176" fontId="24" fillId="11" borderId="0" xfId="0" applyNumberFormat="1" applyFont="1" applyFill="1">
      <alignment horizontal="center" vertical="center"/>
    </xf>
    <xf numFmtId="172" fontId="24" fillId="11" borderId="4" xfId="3" applyNumberFormat="1" applyFont="1" applyBorder="1">
      <alignment horizontal="center" vertical="center"/>
    </xf>
    <xf numFmtId="171" fontId="0" fillId="0" borderId="0" xfId="3" applyNumberFormat="1" applyFont="1" applyFill="1">
      <alignment horizontal="center" vertical="center"/>
    </xf>
    <xf numFmtId="174" fontId="20" fillId="0" borderId="0" xfId="3" applyNumberFormat="1" applyFont="1" applyFill="1">
      <alignment horizontal="center" vertical="center"/>
    </xf>
    <xf numFmtId="174" fontId="0" fillId="0" borderId="0" xfId="3" applyNumberFormat="1" applyFont="1" applyFill="1">
      <alignment horizontal="center" vertical="center"/>
    </xf>
    <xf numFmtId="210" fontId="20" fillId="0" borderId="0" xfId="6" applyNumberFormat="1" applyFont="1" applyAlignment="1">
      <alignment horizontal="center"/>
    </xf>
    <xf numFmtId="172" fontId="20" fillId="0" borderId="0" xfId="3" applyNumberFormat="1" applyFont="1" applyFill="1">
      <alignment horizontal="center" vertical="center"/>
    </xf>
    <xf numFmtId="9" fontId="0" fillId="0" borderId="0" xfId="1" applyFont="1" applyFill="1" applyBorder="1" applyAlignment="1">
      <alignment horizontal="center" vertical="center"/>
    </xf>
    <xf numFmtId="9" fontId="0" fillId="0" borderId="0" xfId="6" applyNumberFormat="1" applyFont="1" applyAlignment="1">
      <alignment horizontal="center"/>
    </xf>
    <xf numFmtId="0" fontId="0" fillId="0" borderId="0" xfId="3" applyNumberFormat="1" applyFont="1" applyFill="1">
      <alignment horizontal="center" vertical="center"/>
    </xf>
    <xf numFmtId="175" fontId="0" fillId="0" borderId="0" xfId="3" applyNumberFormat="1" applyFont="1" applyFill="1">
      <alignment horizontal="center" vertical="center"/>
    </xf>
    <xf numFmtId="172" fontId="0" fillId="0" borderId="0" xfId="3" applyNumberFormat="1" applyFont="1" applyFill="1">
      <alignment horizontal="center" vertical="center"/>
    </xf>
    <xf numFmtId="176" fontId="0" fillId="0" borderId="0" xfId="3" applyNumberFormat="1" applyFont="1" applyFill="1">
      <alignment horizontal="center" vertical="center"/>
    </xf>
    <xf numFmtId="167" fontId="20" fillId="0" borderId="0" xfId="3" applyNumberFormat="1" applyFont="1" applyFill="1">
      <alignment horizontal="center" vertical="center"/>
    </xf>
    <xf numFmtId="0" fontId="20" fillId="0" borderId="0" xfId="3" applyNumberFormat="1" applyFont="1" applyFill="1">
      <alignment horizontal="center" vertical="center"/>
    </xf>
    <xf numFmtId="11" fontId="20" fillId="0" borderId="0" xfId="3" applyNumberFormat="1" applyFont="1" applyFill="1">
      <alignment horizontal="center" vertical="center"/>
    </xf>
    <xf numFmtId="176" fontId="20" fillId="0" borderId="0" xfId="3" applyNumberFormat="1" applyFont="1" applyFill="1">
      <alignment horizontal="center" vertical="center"/>
    </xf>
    <xf numFmtId="178" fontId="10" fillId="17" borderId="0" xfId="7" applyAlignment="1">
      <alignment horizontal="center" vertical="center"/>
    </xf>
    <xf numFmtId="217" fontId="10" fillId="17" borderId="0" xfId="7" applyNumberFormat="1" applyAlignment="1">
      <alignment horizontal="center" vertical="center"/>
    </xf>
    <xf numFmtId="218" fontId="10" fillId="17" borderId="0" xfId="7" applyNumberFormat="1" applyAlignment="1">
      <alignment horizontal="center" vertical="center"/>
    </xf>
    <xf numFmtId="180" fontId="10" fillId="17" borderId="0" xfId="7" applyNumberFormat="1" applyAlignment="1">
      <alignment horizontal="center" vertical="center"/>
    </xf>
    <xf numFmtId="203" fontId="52" fillId="0" borderId="0" xfId="19" applyNumberFormat="1" applyFont="1"/>
    <xf numFmtId="178" fontId="0" fillId="20" borderId="0" xfId="4" applyFont="1" applyFill="1">
      <alignment horizontal="center" vertical="center"/>
    </xf>
    <xf numFmtId="217" fontId="24" fillId="17" borderId="0" xfId="7" applyNumberFormat="1" applyFont="1" applyAlignment="1">
      <alignment horizontal="center" vertical="center"/>
    </xf>
    <xf numFmtId="2" fontId="20" fillId="20" borderId="0" xfId="3" applyNumberFormat="1" applyFont="1" applyFill="1">
      <alignment horizontal="center" vertical="center"/>
    </xf>
    <xf numFmtId="0" fontId="0" fillId="0" borderId="21" xfId="0" quotePrefix="1" applyBorder="1" applyAlignment="1">
      <alignment horizontal="left" vertical="center"/>
    </xf>
    <xf numFmtId="203" fontId="52" fillId="0" borderId="0" xfId="19" applyNumberFormat="1" applyFont="1" applyAlignment="1">
      <alignment horizontal="center"/>
    </xf>
    <xf numFmtId="203" fontId="89" fillId="34" borderId="0" xfId="19" applyNumberFormat="1" applyFont="1" applyFill="1" applyAlignment="1">
      <alignment horizontal="right"/>
    </xf>
    <xf numFmtId="203" fontId="52" fillId="11" borderId="0" xfId="19" applyNumberFormat="1" applyFont="1" applyFill="1" applyAlignment="1">
      <alignment horizontal="right"/>
    </xf>
    <xf numFmtId="203" fontId="52" fillId="0" borderId="0" xfId="19" applyNumberFormat="1" applyFont="1" applyAlignment="1">
      <alignment horizontal="left"/>
    </xf>
    <xf numFmtId="203" fontId="92" fillId="0" borderId="0" xfId="19" applyNumberFormat="1" applyFont="1"/>
    <xf numFmtId="0" fontId="91" fillId="0" borderId="0" xfId="0" applyFont="1">
      <alignment horizontal="center" vertical="center"/>
    </xf>
    <xf numFmtId="203" fontId="95" fillId="0" borderId="0" xfId="19" applyNumberFormat="1" applyFont="1" applyAlignment="1">
      <alignment horizontal="left"/>
    </xf>
    <xf numFmtId="0" fontId="67" fillId="0" borderId="0" xfId="0" applyFont="1" applyAlignment="1">
      <alignment horizontal="left" vertical="center"/>
    </xf>
    <xf numFmtId="203" fontId="97" fillId="0" borderId="0" xfId="19" applyNumberFormat="1" applyFont="1" applyAlignment="1">
      <alignment horizontal="left"/>
    </xf>
    <xf numFmtId="203" fontId="95" fillId="0" borderId="0" xfId="19" applyNumberFormat="1" applyFont="1" applyAlignment="1">
      <alignment horizontal="center"/>
    </xf>
    <xf numFmtId="203" fontId="52" fillId="0" borderId="0" xfId="19" applyNumberFormat="1" applyFont="1" applyAlignment="1">
      <alignment horizontal="right"/>
    </xf>
    <xf numFmtId="203" fontId="52" fillId="12" borderId="0" xfId="19" applyNumberFormat="1" applyFont="1" applyFill="1" applyAlignment="1">
      <alignment horizontal="right"/>
    </xf>
    <xf numFmtId="216" fontId="89" fillId="34" borderId="0" xfId="19" applyNumberFormat="1" applyFont="1" applyFill="1" applyAlignment="1">
      <alignment horizontal="right"/>
    </xf>
    <xf numFmtId="203" fontId="52" fillId="14" borderId="0" xfId="19" applyNumberFormat="1" applyFont="1" applyFill="1" applyAlignment="1">
      <alignment horizontal="right"/>
    </xf>
    <xf numFmtId="209" fontId="52" fillId="12" borderId="0" xfId="19" applyNumberFormat="1" applyFont="1" applyFill="1" applyAlignment="1">
      <alignment horizontal="right"/>
    </xf>
    <xf numFmtId="203" fontId="98" fillId="0" borderId="0" xfId="19" applyNumberFormat="1" applyFont="1" applyAlignment="1">
      <alignment horizontal="left"/>
    </xf>
    <xf numFmtId="9" fontId="9" fillId="12" borderId="0" xfId="1" applyFont="1" applyFill="1" applyBorder="1" applyAlignment="1">
      <alignment horizontal="right" vertical="center"/>
    </xf>
    <xf numFmtId="210" fontId="0" fillId="0" borderId="0" xfId="0" applyNumberFormat="1">
      <alignment horizontal="center" vertical="center"/>
    </xf>
    <xf numFmtId="203" fontId="52" fillId="20" borderId="0" xfId="19" applyNumberFormat="1" applyFont="1" applyFill="1" applyAlignment="1">
      <alignment horizontal="right"/>
    </xf>
    <xf numFmtId="170" fontId="9" fillId="11" borderId="0" xfId="3" applyAlignment="1">
      <alignment horizontal="right" vertical="center"/>
    </xf>
    <xf numFmtId="205" fontId="52" fillId="11" borderId="0" xfId="19" applyNumberFormat="1" applyFont="1" applyFill="1" applyAlignment="1">
      <alignment horizontal="right"/>
    </xf>
    <xf numFmtId="205" fontId="52" fillId="0" borderId="0" xfId="19" applyNumberFormat="1" applyFont="1" applyAlignment="1">
      <alignment horizontal="right"/>
    </xf>
    <xf numFmtId="205" fontId="95" fillId="0" borderId="0" xfId="19" applyNumberFormat="1" applyFont="1" applyAlignment="1">
      <alignment horizontal="center"/>
    </xf>
    <xf numFmtId="205" fontId="52" fillId="0" borderId="0" xfId="19" applyNumberFormat="1" applyFont="1"/>
    <xf numFmtId="9" fontId="9" fillId="11" borderId="0" xfId="1" applyFont="1" applyFill="1" applyBorder="1" applyAlignment="1">
      <alignment horizontal="right" vertical="center"/>
    </xf>
    <xf numFmtId="203" fontId="90" fillId="11" borderId="0" xfId="19" applyNumberFormat="1" applyFont="1" applyFill="1" applyAlignment="1">
      <alignment horizontal="right"/>
    </xf>
    <xf numFmtId="203" fontId="90" fillId="0" borderId="0" xfId="19" applyNumberFormat="1" applyFont="1" applyAlignment="1">
      <alignment horizontal="right"/>
    </xf>
    <xf numFmtId="203" fontId="9" fillId="12" borderId="0" xfId="4" applyNumberFormat="1" applyAlignment="1">
      <alignment horizontal="right" vertical="center"/>
    </xf>
    <xf numFmtId="209" fontId="52" fillId="0" borderId="0" xfId="19" applyNumberFormat="1" applyFont="1" applyAlignment="1">
      <alignment horizontal="right"/>
    </xf>
    <xf numFmtId="203" fontId="52" fillId="12" borderId="0" xfId="19" applyNumberFormat="1" applyFont="1" applyFill="1"/>
    <xf numFmtId="9" fontId="9" fillId="0" borderId="0" xfId="1" applyFont="1" applyFill="1" applyBorder="1" applyAlignment="1">
      <alignment horizontal="right" vertical="center"/>
    </xf>
    <xf numFmtId="203" fontId="88" fillId="0" borderId="0" xfId="19" applyNumberFormat="1" applyFont="1"/>
    <xf numFmtId="209" fontId="52" fillId="0" borderId="0" xfId="19" applyNumberFormat="1" applyFont="1"/>
    <xf numFmtId="203" fontId="93" fillId="0" borderId="0" xfId="19" applyNumberFormat="1" applyFont="1"/>
    <xf numFmtId="203" fontId="93" fillId="2" borderId="0" xfId="19" applyNumberFormat="1" applyFont="1" applyFill="1"/>
    <xf numFmtId="203" fontId="52" fillId="2" borderId="0" xfId="19" applyNumberFormat="1" applyFont="1" applyFill="1"/>
    <xf numFmtId="203" fontId="89" fillId="12" borderId="0" xfId="19" applyNumberFormat="1" applyFont="1" applyFill="1" applyAlignment="1">
      <alignment vertical="center"/>
    </xf>
    <xf numFmtId="203" fontId="89" fillId="12" borderId="0" xfId="19" applyNumberFormat="1" applyFont="1" applyFill="1" applyAlignment="1">
      <alignment horizontal="center" vertical="center" wrapText="1"/>
    </xf>
    <xf numFmtId="0" fontId="96" fillId="0" borderId="0" xfId="0" applyFont="1" applyAlignment="1">
      <alignment horizontal="right"/>
    </xf>
    <xf numFmtId="0" fontId="96" fillId="0" borderId="0" xfId="0" applyFont="1" applyAlignment="1">
      <alignment horizontal="center"/>
    </xf>
    <xf numFmtId="203" fontId="94" fillId="10" borderId="0" xfId="19" applyNumberFormat="1" applyFont="1" applyFill="1" applyAlignment="1">
      <alignment horizontal="center" vertical="center"/>
    </xf>
    <xf numFmtId="203" fontId="93" fillId="10" borderId="0" xfId="19" applyNumberFormat="1" applyFont="1" applyFill="1" applyAlignment="1">
      <alignment horizontal="center" vertical="center" wrapText="1"/>
    </xf>
    <xf numFmtId="203" fontId="94" fillId="10" borderId="0" xfId="19" applyNumberFormat="1" applyFont="1" applyFill="1" applyAlignment="1">
      <alignment horizontal="left" vertical="center"/>
    </xf>
    <xf numFmtId="203" fontId="94" fillId="10" borderId="0" xfId="19" applyNumberFormat="1" applyFont="1" applyFill="1" applyAlignment="1">
      <alignment horizontal="left" vertical="center" wrapText="1"/>
    </xf>
    <xf numFmtId="203" fontId="93" fillId="10" borderId="0" xfId="19" applyNumberFormat="1" applyFont="1" applyFill="1" applyAlignment="1">
      <alignment horizontal="left"/>
    </xf>
    <xf numFmtId="203" fontId="52" fillId="10" borderId="0" xfId="19" applyNumberFormat="1" applyFont="1" applyFill="1"/>
    <xf numFmtId="178" fontId="10" fillId="17" borderId="0" xfId="7" applyAlignment="1">
      <alignment horizontal="center"/>
    </xf>
    <xf numFmtId="203" fontId="10" fillId="17" borderId="0" xfId="7" applyNumberFormat="1" applyAlignment="1">
      <alignment horizontal="center" vertical="center"/>
    </xf>
    <xf numFmtId="203" fontId="0" fillId="0" borderId="0" xfId="0" applyNumberFormat="1" applyAlignment="1">
      <alignment horizontal="left" vertical="center"/>
    </xf>
    <xf numFmtId="9" fontId="52" fillId="11" borderId="0" xfId="1" applyFont="1" applyFill="1" applyBorder="1" applyAlignment="1">
      <alignment horizontal="right"/>
    </xf>
    <xf numFmtId="9" fontId="9" fillId="12" borderId="0" xfId="1" applyFont="1" applyFill="1" applyBorder="1" applyAlignment="1">
      <alignment horizontal="center" vertical="center"/>
    </xf>
    <xf numFmtId="0" fontId="99" fillId="0" borderId="0" xfId="21" applyBorder="1" applyAlignment="1">
      <alignment horizontal="left" vertical="center"/>
    </xf>
    <xf numFmtId="9" fontId="52" fillId="0" borderId="0" xfId="1" applyFont="1" applyFill="1" applyBorder="1" applyAlignment="1">
      <alignment horizontal="right"/>
    </xf>
    <xf numFmtId="9" fontId="9" fillId="0" borderId="0" xfId="1" applyFont="1" applyFill="1" applyBorder="1" applyAlignment="1">
      <alignment horizontal="center" vertical="center"/>
    </xf>
    <xf numFmtId="0" fontId="99" fillId="0" borderId="0" xfId="21" applyFill="1" applyBorder="1" applyAlignment="1">
      <alignment horizontal="left" vertical="center"/>
    </xf>
    <xf numFmtId="203" fontId="102" fillId="0" borderId="0" xfId="19" applyNumberFormat="1" applyFont="1"/>
    <xf numFmtId="210" fontId="9" fillId="11" borderId="0" xfId="3" applyNumberFormat="1" applyAlignment="1">
      <alignment horizontal="right" vertical="center"/>
    </xf>
    <xf numFmtId="205" fontId="9" fillId="11" borderId="0" xfId="3" applyNumberFormat="1" applyAlignment="1">
      <alignment horizontal="right" vertical="center"/>
    </xf>
    <xf numFmtId="205" fontId="0" fillId="0" borderId="0" xfId="0" applyNumberFormat="1">
      <alignment horizontal="center" vertical="center"/>
    </xf>
    <xf numFmtId="205" fontId="0" fillId="0" borderId="0" xfId="0" applyNumberFormat="1" applyAlignment="1">
      <alignment horizontal="left" vertical="center"/>
    </xf>
    <xf numFmtId="178" fontId="9" fillId="12" borderId="0" xfId="4">
      <alignment horizontal="center" vertical="center"/>
    </xf>
    <xf numFmtId="220" fontId="60" fillId="0" borderId="0" xfId="12" applyNumberFormat="1" applyBorder="1">
      <alignment horizontal="center" vertical="center" wrapText="1"/>
    </xf>
    <xf numFmtId="203" fontId="9" fillId="20" borderId="0" xfId="4" applyNumberFormat="1" applyFill="1" applyAlignment="1">
      <alignment horizontal="right" vertical="center"/>
    </xf>
    <xf numFmtId="203" fontId="60" fillId="0" borderId="0" xfId="12" applyNumberFormat="1" applyBorder="1">
      <alignment horizontal="center" vertical="center" wrapText="1"/>
    </xf>
    <xf numFmtId="203" fontId="9" fillId="12" borderId="0" xfId="4" applyNumberFormat="1">
      <alignment horizontal="center" vertical="center"/>
    </xf>
    <xf numFmtId="178" fontId="9" fillId="12" borderId="0" xfId="4" applyAlignment="1">
      <alignment horizontal="right" vertical="center"/>
    </xf>
    <xf numFmtId="178" fontId="60" fillId="0" borderId="0" xfId="12" applyNumberFormat="1" applyBorder="1">
      <alignment horizontal="center" vertical="center" wrapText="1"/>
    </xf>
    <xf numFmtId="178" fontId="9" fillId="0" borderId="0" xfId="4" applyFill="1" applyAlignment="1">
      <alignment horizontal="right" vertical="center"/>
    </xf>
    <xf numFmtId="219" fontId="9" fillId="12" borderId="0" xfId="4" applyNumberFormat="1" applyAlignment="1">
      <alignment horizontal="right" vertical="center"/>
    </xf>
    <xf numFmtId="219" fontId="10" fillId="17" borderId="0" xfId="7" applyNumberFormat="1" applyAlignment="1">
      <alignment horizontal="center"/>
    </xf>
    <xf numFmtId="203" fontId="9" fillId="11" borderId="0" xfId="4" applyNumberFormat="1" applyFill="1" applyAlignment="1">
      <alignment horizontal="right" vertical="center"/>
    </xf>
    <xf numFmtId="203" fontId="100" fillId="35" borderId="0" xfId="22" applyNumberFormat="1" applyBorder="1" applyAlignment="1">
      <alignment horizontal="right"/>
    </xf>
    <xf numFmtId="178" fontId="9" fillId="11" borderId="0" xfId="4" applyFill="1" applyAlignment="1">
      <alignment horizontal="right" vertical="center"/>
    </xf>
    <xf numFmtId="223" fontId="9" fillId="12" borderId="0" xfId="4" applyNumberFormat="1" applyAlignment="1">
      <alignment horizontal="right" vertical="center"/>
    </xf>
    <xf numFmtId="215" fontId="52" fillId="11" borderId="0" xfId="19" applyNumberFormat="1" applyFont="1" applyFill="1" applyAlignment="1">
      <alignment horizontal="right"/>
    </xf>
    <xf numFmtId="203" fontId="101" fillId="0" borderId="0" xfId="19" applyNumberFormat="1" applyFont="1" applyAlignment="1">
      <alignment horizontal="right"/>
    </xf>
    <xf numFmtId="178" fontId="10" fillId="0" borderId="0" xfId="7" applyFill="1" applyAlignment="1">
      <alignment horizontal="center"/>
    </xf>
    <xf numFmtId="203" fontId="9" fillId="12" borderId="0" xfId="4" applyNumberFormat="1" applyAlignment="1">
      <alignment vertical="center"/>
    </xf>
    <xf numFmtId="203" fontId="10" fillId="0" borderId="0" xfId="7" applyNumberFormat="1" applyFill="1" applyAlignment="1">
      <alignment horizontal="center"/>
    </xf>
    <xf numFmtId="221" fontId="52" fillId="11" borderId="0" xfId="19" applyNumberFormat="1" applyFont="1" applyFill="1" applyAlignment="1">
      <alignment horizontal="right"/>
    </xf>
    <xf numFmtId="217" fontId="9" fillId="11" borderId="0" xfId="4" applyNumberFormat="1" applyFill="1" applyAlignment="1">
      <alignment horizontal="right" vertical="center"/>
    </xf>
    <xf numFmtId="175" fontId="9" fillId="11" borderId="0" xfId="3" applyNumberFormat="1" applyAlignment="1">
      <alignment horizontal="right" vertical="center"/>
    </xf>
    <xf numFmtId="216" fontId="52" fillId="11" borderId="0" xfId="19" applyNumberFormat="1" applyFont="1" applyFill="1" applyAlignment="1">
      <alignment horizontal="right"/>
    </xf>
    <xf numFmtId="216" fontId="9" fillId="11" borderId="0" xfId="3" applyNumberFormat="1" applyAlignment="1">
      <alignment horizontal="right" vertical="center"/>
    </xf>
    <xf numFmtId="203" fontId="52" fillId="0" borderId="0" xfId="19" applyNumberFormat="1" applyFont="1" applyAlignment="1">
      <alignment vertical="center"/>
    </xf>
    <xf numFmtId="205" fontId="52" fillId="0" borderId="0" xfId="19" applyNumberFormat="1" applyFont="1" applyAlignment="1">
      <alignment vertical="center"/>
    </xf>
    <xf numFmtId="209" fontId="52" fillId="0" borderId="0" xfId="19" applyNumberFormat="1" applyFont="1" applyAlignment="1">
      <alignment vertical="center"/>
    </xf>
    <xf numFmtId="203" fontId="0" fillId="0" borderId="0" xfId="0" applyNumberFormat="1" applyAlignment="1">
      <alignment vertical="center"/>
    </xf>
    <xf numFmtId="203" fontId="103" fillId="0" borderId="0" xfId="19" applyNumberFormat="1" applyFont="1" applyAlignment="1">
      <alignment horizontal="center"/>
    </xf>
    <xf numFmtId="203" fontId="104" fillId="0" borderId="0" xfId="19" applyNumberFormat="1" applyFont="1" applyAlignment="1">
      <alignment horizontal="center"/>
    </xf>
    <xf numFmtId="0" fontId="68" fillId="0" borderId="0" xfId="0" applyFont="1">
      <alignment horizontal="center" vertical="center"/>
    </xf>
    <xf numFmtId="0" fontId="105" fillId="0" borderId="0" xfId="19" applyFont="1" applyAlignment="1">
      <alignment horizontal="center" vertical="center"/>
    </xf>
    <xf numFmtId="205" fontId="9" fillId="0" borderId="0" xfId="4" applyNumberFormat="1" applyFill="1" applyAlignment="1">
      <alignment horizontal="right" vertical="center"/>
    </xf>
    <xf numFmtId="203" fontId="9" fillId="0" borderId="0" xfId="4" applyNumberFormat="1" applyFill="1" applyAlignment="1">
      <alignment horizontal="right" vertical="center"/>
    </xf>
    <xf numFmtId="203" fontId="52" fillId="34" borderId="0" xfId="19" applyNumberFormat="1" applyFont="1" applyFill="1" applyAlignment="1">
      <alignment horizontal="right"/>
    </xf>
    <xf numFmtId="205" fontId="52" fillId="34" borderId="0" xfId="19" applyNumberFormat="1" applyFont="1" applyFill="1" applyAlignment="1">
      <alignment horizontal="right"/>
    </xf>
    <xf numFmtId="203" fontId="52" fillId="34" borderId="0" xfId="19" applyNumberFormat="1" applyFont="1" applyFill="1" applyAlignment="1">
      <alignment horizontal="left" vertical="center"/>
    </xf>
    <xf numFmtId="205" fontId="9" fillId="12" borderId="0" xfId="4" applyNumberFormat="1" applyAlignment="1">
      <alignment horizontal="right" vertical="center"/>
    </xf>
    <xf numFmtId="0" fontId="105" fillId="36" borderId="0" xfId="19" applyFont="1" applyFill="1" applyAlignment="1">
      <alignment horizontal="center" vertical="center"/>
    </xf>
    <xf numFmtId="0" fontId="106" fillId="11" borderId="0" xfId="19" applyFont="1" applyFill="1" applyAlignment="1">
      <alignment horizontal="center" vertical="center"/>
    </xf>
    <xf numFmtId="0" fontId="105" fillId="0" borderId="0" xfId="19" applyFont="1" applyAlignment="1">
      <alignment vertical="center"/>
    </xf>
    <xf numFmtId="0" fontId="107" fillId="0" borderId="0" xfId="19" applyFont="1" applyAlignment="1">
      <alignment horizontal="center" vertical="center"/>
    </xf>
    <xf numFmtId="0" fontId="107" fillId="0" borderId="0" xfId="19" applyFont="1" applyAlignment="1">
      <alignment vertical="center"/>
    </xf>
    <xf numFmtId="209" fontId="93" fillId="0" borderId="0" xfId="19" applyNumberFormat="1" applyFont="1" applyAlignment="1">
      <alignment vertical="center"/>
    </xf>
    <xf numFmtId="209" fontId="93" fillId="12" borderId="0" xfId="19" applyNumberFormat="1" applyFont="1" applyFill="1" applyAlignment="1">
      <alignment horizontal="right"/>
    </xf>
    <xf numFmtId="209" fontId="93" fillId="0" borderId="0" xfId="19" applyNumberFormat="1" applyFont="1" applyAlignment="1">
      <alignment horizontal="right"/>
    </xf>
    <xf numFmtId="178" fontId="108" fillId="0" borderId="0" xfId="7" applyFont="1" applyFill="1" applyAlignment="1">
      <alignment horizontal="center"/>
    </xf>
    <xf numFmtId="203" fontId="109" fillId="0" borderId="0" xfId="19" applyNumberFormat="1" applyFont="1" applyAlignment="1">
      <alignment horizontal="center"/>
    </xf>
    <xf numFmtId="203" fontId="9" fillId="0" borderId="0" xfId="1" applyNumberFormat="1" applyFont="1" applyFill="1" applyBorder="1" applyAlignment="1">
      <alignment horizontal="right" vertical="center"/>
    </xf>
    <xf numFmtId="209" fontId="9" fillId="0" borderId="0" xfId="1" applyNumberFormat="1" applyFont="1" applyFill="1" applyBorder="1" applyAlignment="1">
      <alignment horizontal="right" vertical="center"/>
    </xf>
    <xf numFmtId="203" fontId="52" fillId="21" borderId="0" xfId="19" applyNumberFormat="1" applyFont="1" applyFill="1" applyAlignment="1">
      <alignment horizontal="right"/>
    </xf>
    <xf numFmtId="204" fontId="51" fillId="10" borderId="9" xfId="0" applyNumberFormat="1" applyFont="1" applyFill="1" applyBorder="1" applyAlignment="1">
      <alignment horizontal="center" vertical="center" wrapText="1"/>
    </xf>
    <xf numFmtId="204" fontId="52" fillId="10" borderId="0" xfId="1" applyNumberFormat="1" applyFont="1" applyFill="1" applyBorder="1" applyAlignment="1">
      <alignment horizontal="center" vertical="center" wrapText="1"/>
    </xf>
    <xf numFmtId="204" fontId="52" fillId="0" borderId="0" xfId="1" applyNumberFormat="1" applyFont="1" applyFill="1" applyBorder="1" applyAlignment="1">
      <alignment horizontal="center" vertical="center"/>
    </xf>
    <xf numFmtId="209" fontId="52" fillId="0" borderId="0" xfId="1" applyNumberFormat="1" applyFont="1" applyFill="1" applyBorder="1" applyAlignment="1">
      <alignment horizontal="center" vertical="center"/>
    </xf>
    <xf numFmtId="9" fontId="9" fillId="9" borderId="0" xfId="1" applyFont="1" applyFill="1" applyBorder="1" applyAlignment="1">
      <alignment horizontal="right" vertical="center"/>
    </xf>
    <xf numFmtId="203" fontId="29" fillId="0" borderId="0" xfId="0" applyNumberFormat="1" applyFont="1" applyAlignment="1">
      <alignment horizontal="center" wrapText="1"/>
    </xf>
    <xf numFmtId="224" fontId="22" fillId="0" borderId="0" xfId="0" applyNumberFormat="1" applyFont="1" applyAlignment="1">
      <alignment horizontal="left"/>
    </xf>
    <xf numFmtId="224" fontId="22" fillId="0" borderId="0" xfId="0" applyNumberFormat="1" applyFont="1" applyAlignment="1">
      <alignment horizontal="center"/>
    </xf>
    <xf numFmtId="0" fontId="20" fillId="0" borderId="0" xfId="0" applyFont="1" applyAlignment="1">
      <alignment wrapText="1"/>
    </xf>
    <xf numFmtId="224" fontId="0" fillId="0" borderId="0" xfId="0" applyNumberFormat="1">
      <alignment horizontal="center" vertical="center"/>
    </xf>
    <xf numFmtId="204" fontId="0" fillId="0" borderId="0" xfId="0" applyNumberFormat="1" applyAlignment="1">
      <alignment horizontal="left" vertical="center" indent="1"/>
    </xf>
    <xf numFmtId="204" fontId="0" fillId="0" borderId="0" xfId="0" applyNumberFormat="1">
      <alignment horizontal="center" vertical="center"/>
    </xf>
    <xf numFmtId="204" fontId="0" fillId="0" borderId="0" xfId="0" applyNumberFormat="1" applyAlignment="1">
      <alignment horizontal="left"/>
    </xf>
    <xf numFmtId="204" fontId="0" fillId="0" borderId="0" xfId="4" applyNumberFormat="1" applyFont="1" applyFill="1">
      <alignment horizontal="center" vertical="center"/>
    </xf>
    <xf numFmtId="204" fontId="24" fillId="0" borderId="0" xfId="0" applyNumberFormat="1" applyFont="1">
      <alignment horizontal="center" vertical="center"/>
    </xf>
    <xf numFmtId="204" fontId="24" fillId="11" borderId="0" xfId="3" applyNumberFormat="1" applyFont="1">
      <alignment horizontal="center" vertical="center"/>
    </xf>
    <xf numFmtId="204" fontId="24" fillId="11" borderId="11" xfId="3" applyNumberFormat="1" applyFont="1" applyBorder="1">
      <alignment horizontal="center" vertical="center"/>
    </xf>
    <xf numFmtId="204" fontId="24" fillId="11" borderId="4" xfId="3" applyNumberFormat="1" applyFont="1" applyBorder="1">
      <alignment horizontal="center" vertical="center"/>
    </xf>
    <xf numFmtId="204" fontId="24" fillId="11" borderId="5" xfId="3" applyNumberFormat="1" applyFont="1" applyBorder="1">
      <alignment horizontal="center" vertical="center"/>
    </xf>
    <xf numFmtId="205" fontId="0" fillId="0" borderId="0" xfId="0" applyNumberFormat="1" applyAlignment="1">
      <alignment horizontal="left" vertical="center" indent="1"/>
    </xf>
    <xf numFmtId="205" fontId="0" fillId="0" borderId="0" xfId="0" applyNumberFormat="1" applyAlignment="1">
      <alignment wrapText="1"/>
    </xf>
    <xf numFmtId="205" fontId="0" fillId="0" borderId="0" xfId="0" applyNumberFormat="1" applyAlignment="1">
      <alignment horizontal="left"/>
    </xf>
    <xf numFmtId="205" fontId="0" fillId="0" borderId="0" xfId="4" applyNumberFormat="1" applyFont="1" applyFill="1">
      <alignment horizontal="center" vertical="center"/>
    </xf>
    <xf numFmtId="205" fontId="22" fillId="0" borderId="0" xfId="0" applyNumberFormat="1" applyFont="1" applyAlignment="1">
      <alignment horizontal="left"/>
    </xf>
    <xf numFmtId="205" fontId="24" fillId="0" borderId="0" xfId="0" applyNumberFormat="1" applyFont="1">
      <alignment horizontal="center" vertical="center"/>
    </xf>
    <xf numFmtId="205" fontId="24" fillId="11" borderId="0" xfId="3" applyNumberFormat="1" applyFont="1">
      <alignment horizontal="center" vertical="center"/>
    </xf>
    <xf numFmtId="205" fontId="24" fillId="11" borderId="11" xfId="3" applyNumberFormat="1" applyFont="1" applyBorder="1">
      <alignment horizontal="center" vertical="center"/>
    </xf>
    <xf numFmtId="205" fontId="24" fillId="11" borderId="4" xfId="3" applyNumberFormat="1" applyFont="1" applyBorder="1">
      <alignment horizontal="center" vertical="center"/>
    </xf>
    <xf numFmtId="203" fontId="52" fillId="12" borderId="0" xfId="19" applyNumberFormat="1" applyFont="1" applyFill="1" applyAlignment="1">
      <alignment horizontal="center"/>
    </xf>
    <xf numFmtId="224" fontId="52" fillId="11" borderId="0" xfId="19" applyNumberFormat="1" applyFont="1" applyFill="1" applyAlignment="1">
      <alignment horizontal="center"/>
    </xf>
    <xf numFmtId="203" fontId="20" fillId="11" borderId="0" xfId="0" applyNumberFormat="1" applyFont="1" applyFill="1">
      <alignment horizontal="center" vertical="center"/>
    </xf>
    <xf numFmtId="203" fontId="20" fillId="12" borderId="0" xfId="0" applyNumberFormat="1" applyFont="1" applyFill="1">
      <alignment horizontal="center" vertical="center"/>
    </xf>
    <xf numFmtId="0" fontId="0" fillId="11" borderId="0" xfId="0" applyFill="1" applyAlignment="1">
      <alignment horizontal="center"/>
    </xf>
    <xf numFmtId="0" fontId="0" fillId="11" borderId="11" xfId="0" applyFill="1" applyBorder="1" applyAlignment="1">
      <alignment horizontal="center"/>
    </xf>
    <xf numFmtId="0" fontId="0" fillId="11" borderId="4" xfId="0" applyFill="1" applyBorder="1" applyAlignment="1">
      <alignment horizontal="center"/>
    </xf>
    <xf numFmtId="0" fontId="0" fillId="11" borderId="5" xfId="0" applyFill="1" applyBorder="1" applyAlignment="1">
      <alignment horizontal="center"/>
    </xf>
    <xf numFmtId="171" fontId="20" fillId="11" borderId="0" xfId="0" applyNumberFormat="1" applyFont="1" applyFill="1" applyAlignment="1">
      <alignment horizontal="center"/>
    </xf>
    <xf numFmtId="171" fontId="20" fillId="11" borderId="11" xfId="0" applyNumberFormat="1" applyFont="1" applyFill="1" applyBorder="1" applyAlignment="1">
      <alignment horizontal="center"/>
    </xf>
    <xf numFmtId="171" fontId="20" fillId="11" borderId="4" xfId="0" applyNumberFormat="1" applyFont="1" applyFill="1" applyBorder="1" applyAlignment="1">
      <alignment horizontal="center"/>
    </xf>
    <xf numFmtId="171" fontId="20" fillId="11" borderId="5" xfId="0" applyNumberFormat="1" applyFont="1" applyFill="1" applyBorder="1" applyAlignment="1">
      <alignment horizontal="center"/>
    </xf>
    <xf numFmtId="222" fontId="20" fillId="11" borderId="0" xfId="0" applyNumberFormat="1" applyFont="1" applyFill="1" applyAlignment="1">
      <alignment horizontal="center"/>
    </xf>
    <xf numFmtId="203" fontId="0" fillId="0" borderId="0" xfId="0" applyNumberFormat="1" applyAlignment="1">
      <alignment horizontal="left" vertical="center" indent="1"/>
    </xf>
    <xf numFmtId="203" fontId="0" fillId="0" borderId="0" xfId="0" applyNumberFormat="1" applyAlignment="1">
      <alignment horizontal="left"/>
    </xf>
    <xf numFmtId="203" fontId="0" fillId="12" borderId="0" xfId="0" applyNumberFormat="1" applyFill="1" applyAlignment="1">
      <alignment horizontal="center"/>
    </xf>
    <xf numFmtId="203" fontId="22" fillId="0" borderId="0" xfId="0" applyNumberFormat="1" applyFont="1" applyAlignment="1">
      <alignment horizontal="left" vertical="center"/>
    </xf>
    <xf numFmtId="203" fontId="24" fillId="12" borderId="0" xfId="3" applyNumberFormat="1" applyFont="1" applyFill="1">
      <alignment horizontal="center" vertical="center"/>
    </xf>
    <xf numFmtId="203" fontId="29" fillId="12" borderId="0" xfId="0" applyNumberFormat="1" applyFont="1" applyFill="1" applyAlignment="1">
      <alignment horizontal="center"/>
    </xf>
    <xf numFmtId="203" fontId="24" fillId="0" borderId="0" xfId="4" applyNumberFormat="1" applyFont="1" applyFill="1">
      <alignment horizontal="center" vertical="center"/>
    </xf>
    <xf numFmtId="176" fontId="16" fillId="18" borderId="0" xfId="4" applyNumberFormat="1" applyFont="1" applyFill="1">
      <alignment horizontal="center" vertical="center"/>
    </xf>
    <xf numFmtId="2" fontId="20" fillId="0" borderId="0" xfId="0" applyNumberFormat="1" applyFont="1" applyAlignment="1">
      <alignment horizontal="center"/>
    </xf>
    <xf numFmtId="225" fontId="20" fillId="0" borderId="0" xfId="0" applyNumberFormat="1" applyFont="1" applyAlignment="1">
      <alignment horizontal="center"/>
    </xf>
    <xf numFmtId="226" fontId="0" fillId="0" borderId="0" xfId="0" applyNumberFormat="1">
      <alignment horizontal="center" vertical="center"/>
    </xf>
    <xf numFmtId="227" fontId="0" fillId="0" borderId="0" xfId="0" applyNumberFormat="1" applyAlignment="1">
      <alignment horizontal="center"/>
    </xf>
    <xf numFmtId="0" fontId="56" fillId="0" borderId="0" xfId="0" applyFont="1" applyAlignment="1">
      <alignment vertical="center"/>
    </xf>
    <xf numFmtId="205" fontId="10" fillId="17" borderId="0" xfId="7" applyNumberFormat="1" applyAlignment="1">
      <alignment horizontal="center"/>
    </xf>
    <xf numFmtId="222" fontId="52" fillId="12" borderId="0" xfId="19" applyNumberFormat="1" applyFont="1" applyFill="1" applyAlignment="1">
      <alignment horizontal="center"/>
    </xf>
    <xf numFmtId="222" fontId="52" fillId="34" borderId="0" xfId="19" applyNumberFormat="1" applyFont="1" applyFill="1" applyAlignment="1">
      <alignment horizontal="right"/>
    </xf>
    <xf numFmtId="179" fontId="10" fillId="17" borderId="0" xfId="7" applyNumberFormat="1" applyAlignment="1">
      <alignment horizontal="center" vertical="center"/>
    </xf>
    <xf numFmtId="0" fontId="96" fillId="0" borderId="0" xfId="0" applyFont="1" applyAlignment="1">
      <alignment vertical="center"/>
    </xf>
    <xf numFmtId="179" fontId="14" fillId="12" borderId="0" xfId="4" applyNumberFormat="1" applyFont="1">
      <alignment horizontal="center" vertical="center"/>
    </xf>
    <xf numFmtId="209" fontId="16" fillId="12" borderId="0" xfId="0" applyNumberFormat="1" applyFont="1" applyFill="1" applyAlignment="1">
      <alignment horizontal="center"/>
    </xf>
    <xf numFmtId="9" fontId="110" fillId="0" borderId="0" xfId="1" applyFont="1" applyFill="1" applyBorder="1" applyAlignment="1">
      <alignment horizontal="right" vertical="center"/>
    </xf>
    <xf numFmtId="9" fontId="110" fillId="34" borderId="0" xfId="1" applyFont="1" applyFill="1" applyBorder="1" applyAlignment="1">
      <alignment horizontal="right" vertical="center"/>
    </xf>
    <xf numFmtId="203" fontId="52" fillId="20" borderId="0" xfId="19" applyNumberFormat="1" applyFont="1" applyFill="1"/>
    <xf numFmtId="9" fontId="52" fillId="34" borderId="0" xfId="1" applyFont="1" applyFill="1" applyBorder="1" applyAlignment="1">
      <alignment horizontal="right"/>
    </xf>
    <xf numFmtId="203" fontId="10" fillId="17" borderId="0" xfId="7" applyNumberFormat="1" applyAlignment="1">
      <alignment horizontal="center"/>
    </xf>
    <xf numFmtId="205" fontId="105" fillId="0" borderId="0" xfId="19" applyNumberFormat="1" applyFont="1" applyAlignment="1">
      <alignment horizontal="center" vertical="center"/>
    </xf>
    <xf numFmtId="205" fontId="105" fillId="0" borderId="0" xfId="19" applyNumberFormat="1" applyFont="1" applyAlignment="1">
      <alignment vertical="center"/>
    </xf>
    <xf numFmtId="205" fontId="110" fillId="34" borderId="0" xfId="1" applyNumberFormat="1" applyFont="1" applyFill="1" applyBorder="1" applyAlignment="1">
      <alignment horizontal="right" vertical="center"/>
    </xf>
    <xf numFmtId="205" fontId="24" fillId="12" borderId="0" xfId="3" applyNumberFormat="1" applyFont="1" applyFill="1">
      <alignment horizontal="center" vertical="center"/>
    </xf>
    <xf numFmtId="205" fontId="9" fillId="0" borderId="0" xfId="1" applyNumberFormat="1" applyFont="1" applyFill="1" applyBorder="1" applyAlignment="1">
      <alignment horizontal="right" vertical="center"/>
    </xf>
    <xf numFmtId="205" fontId="98" fillId="0" borderId="0" xfId="19" applyNumberFormat="1" applyFont="1" applyAlignment="1">
      <alignment horizontal="left"/>
    </xf>
    <xf numFmtId="205" fontId="99" fillId="0" borderId="0" xfId="21" applyNumberFormat="1" applyFill="1" applyBorder="1" applyAlignment="1">
      <alignment horizontal="left" vertical="center"/>
    </xf>
    <xf numFmtId="203" fontId="105" fillId="0" borderId="0" xfId="19" applyNumberFormat="1" applyFont="1" applyAlignment="1">
      <alignment horizontal="center" vertical="center"/>
    </xf>
    <xf numFmtId="203" fontId="105" fillId="0" borderId="0" xfId="19" applyNumberFormat="1" applyFont="1" applyAlignment="1">
      <alignment vertical="center"/>
    </xf>
    <xf numFmtId="203" fontId="105" fillId="36" borderId="0" xfId="19" applyNumberFormat="1" applyFont="1" applyFill="1" applyAlignment="1">
      <alignment horizontal="center" vertical="center"/>
    </xf>
    <xf numFmtId="203" fontId="9" fillId="20" borderId="0" xfId="4" applyNumberFormat="1" applyFill="1">
      <alignment horizontal="center" vertical="center"/>
    </xf>
    <xf numFmtId="180" fontId="10" fillId="17" borderId="0" xfId="7" applyNumberFormat="1" applyAlignment="1">
      <alignment horizontal="center"/>
    </xf>
    <xf numFmtId="0" fontId="20" fillId="11" borderId="0" xfId="0" applyFont="1" applyFill="1" applyAlignment="1">
      <alignment horizontal="center" vertical="center" wrapText="1"/>
    </xf>
    <xf numFmtId="0" fontId="0" fillId="29" borderId="0" xfId="0" applyFill="1">
      <alignment horizontal="center" vertical="center"/>
    </xf>
    <xf numFmtId="170" fontId="77" fillId="29" borderId="0" xfId="0" applyNumberFormat="1" applyFont="1" applyFill="1" applyAlignment="1">
      <alignment horizontal="right" vertical="center"/>
    </xf>
    <xf numFmtId="205" fontId="52" fillId="10" borderId="0" xfId="1" applyNumberFormat="1" applyFont="1" applyFill="1" applyBorder="1" applyAlignment="1">
      <alignment horizontal="center" vertical="center" wrapText="1"/>
    </xf>
    <xf numFmtId="2" fontId="0" fillId="11" borderId="0" xfId="3" applyNumberFormat="1" applyFont="1">
      <alignment horizontal="center" vertical="center"/>
    </xf>
    <xf numFmtId="2" fontId="0" fillId="12" borderId="0" xfId="1" applyNumberFormat="1" applyFont="1" applyFill="1" applyAlignment="1">
      <alignment horizontal="center" vertical="center"/>
    </xf>
    <xf numFmtId="2" fontId="19" fillId="10" borderId="0" xfId="0" applyNumberFormat="1" applyFont="1" applyFill="1" applyAlignment="1">
      <alignment vertical="center"/>
    </xf>
    <xf numFmtId="167" fontId="0" fillId="0" borderId="0" xfId="0" applyNumberFormat="1" applyAlignment="1">
      <alignment horizontal="center"/>
    </xf>
    <xf numFmtId="228" fontId="16" fillId="7" borderId="0" xfId="0" applyNumberFormat="1" applyFont="1" applyFill="1" applyAlignment="1">
      <alignment horizontal="center"/>
    </xf>
    <xf numFmtId="168" fontId="0" fillId="0" borderId="0" xfId="0" applyNumberFormat="1">
      <alignment horizontal="center" vertical="center"/>
    </xf>
    <xf numFmtId="166" fontId="16" fillId="6" borderId="0" xfId="0" applyNumberFormat="1" applyFont="1" applyFill="1" applyAlignment="1">
      <alignment horizontal="center"/>
    </xf>
    <xf numFmtId="2" fontId="16" fillId="6" borderId="0" xfId="0" applyNumberFormat="1" applyFont="1" applyFill="1" applyAlignment="1">
      <alignment horizontal="center"/>
    </xf>
    <xf numFmtId="0" fontId="0" fillId="0" borderId="71" xfId="0" applyBorder="1">
      <alignment horizontal="center" vertical="center"/>
    </xf>
    <xf numFmtId="0" fontId="0" fillId="0" borderId="72" xfId="0" applyBorder="1">
      <alignment horizontal="center" vertical="center"/>
    </xf>
    <xf numFmtId="0" fontId="0" fillId="0" borderId="73" xfId="0" applyBorder="1">
      <alignment horizontal="center" vertical="center"/>
    </xf>
    <xf numFmtId="0" fontId="0" fillId="0" borderId="74" xfId="0" applyBorder="1" applyAlignment="1"/>
    <xf numFmtId="0" fontId="63" fillId="0" borderId="0" xfId="0" applyFont="1" applyAlignment="1"/>
    <xf numFmtId="0" fontId="63" fillId="0" borderId="0" xfId="0" applyFont="1" applyAlignment="1">
      <alignment horizontal="right"/>
    </xf>
    <xf numFmtId="0" fontId="0" fillId="0" borderId="75" xfId="0" applyBorder="1">
      <alignment horizontal="center" vertical="center"/>
    </xf>
    <xf numFmtId="0" fontId="0" fillId="0" borderId="76" xfId="0" applyBorder="1">
      <alignment horizontal="center" vertical="center"/>
    </xf>
    <xf numFmtId="0" fontId="0" fillId="0" borderId="77" xfId="0" applyBorder="1">
      <alignment horizontal="center" vertical="center"/>
    </xf>
    <xf numFmtId="0" fontId="0" fillId="0" borderId="78" xfId="0" applyBorder="1">
      <alignment horizontal="center" vertical="center"/>
    </xf>
    <xf numFmtId="0" fontId="16" fillId="0" borderId="72" xfId="0" applyFont="1" applyBorder="1" applyAlignment="1">
      <alignment horizontal="right" vertical="center"/>
    </xf>
    <xf numFmtId="0" fontId="63" fillId="8" borderId="90" xfId="0" applyFont="1" applyFill="1" applyBorder="1" applyAlignment="1"/>
    <xf numFmtId="0" fontId="0" fillId="8" borderId="74" xfId="0" applyFill="1" applyBorder="1" applyAlignment="1"/>
    <xf numFmtId="0" fontId="0" fillId="8" borderId="91" xfId="0" applyFill="1" applyBorder="1" applyAlignment="1"/>
    <xf numFmtId="0" fontId="63" fillId="8" borderId="92" xfId="0" applyFont="1" applyFill="1" applyBorder="1" applyAlignment="1"/>
    <xf numFmtId="0" fontId="0" fillId="8" borderId="93" xfId="0" applyFill="1" applyBorder="1" applyAlignment="1"/>
    <xf numFmtId="0" fontId="0" fillId="8" borderId="94" xfId="0" applyFill="1" applyBorder="1" applyAlignment="1"/>
    <xf numFmtId="0" fontId="0" fillId="5" borderId="0" xfId="0" applyFill="1" applyAlignment="1">
      <alignment horizontal="right" vertical="center"/>
    </xf>
    <xf numFmtId="0" fontId="0" fillId="37" borderId="0" xfId="0" applyFill="1" applyAlignment="1">
      <alignment horizontal="right" vertical="center"/>
    </xf>
    <xf numFmtId="0" fontId="63" fillId="10" borderId="0" xfId="0" applyFont="1" applyFill="1" applyAlignment="1">
      <alignment horizontal="right"/>
    </xf>
    <xf numFmtId="0" fontId="16" fillId="10" borderId="0" xfId="0" applyFont="1" applyFill="1" applyAlignment="1">
      <alignment horizontal="right" vertical="center"/>
    </xf>
    <xf numFmtId="0" fontId="16" fillId="0" borderId="0" xfId="0" applyFont="1" applyAlignment="1">
      <alignment horizontal="right" vertical="center"/>
    </xf>
    <xf numFmtId="0" fontId="0" fillId="10" borderId="0" xfId="0" applyFill="1" applyAlignment="1">
      <alignment horizontal="right" vertical="center"/>
    </xf>
    <xf numFmtId="170" fontId="20" fillId="9" borderId="0" xfId="0" applyNumberFormat="1" applyFont="1" applyFill="1" applyAlignment="1">
      <alignment horizontal="center" vertical="center" wrapText="1"/>
    </xf>
    <xf numFmtId="0" fontId="0" fillId="18" borderId="0" xfId="0" applyFill="1">
      <alignment horizontal="center" vertical="center"/>
    </xf>
    <xf numFmtId="0" fontId="16" fillId="0" borderId="0" xfId="0" applyFont="1" applyAlignment="1">
      <alignment horizontal="center"/>
    </xf>
    <xf numFmtId="0" fontId="0" fillId="18" borderId="0" xfId="0" applyFill="1" applyAlignment="1">
      <alignment horizontal="left" vertical="center"/>
    </xf>
    <xf numFmtId="2" fontId="16" fillId="21" borderId="0" xfId="0" applyNumberFormat="1" applyFont="1" applyFill="1">
      <alignment horizontal="center" vertical="center"/>
    </xf>
    <xf numFmtId="2" fontId="0" fillId="21" borderId="0" xfId="0" applyNumberFormat="1" applyFill="1">
      <alignment horizontal="center" vertical="center"/>
    </xf>
    <xf numFmtId="181" fontId="0" fillId="9" borderId="0" xfId="4" applyNumberFormat="1" applyFont="1" applyFill="1">
      <alignment horizontal="center" vertical="center"/>
    </xf>
    <xf numFmtId="181" fontId="0" fillId="10" borderId="0" xfId="4" applyNumberFormat="1" applyFont="1" applyFill="1">
      <alignment horizontal="center" vertical="center"/>
    </xf>
    <xf numFmtId="2" fontId="0" fillId="22" borderId="0" xfId="0" applyNumberFormat="1" applyFill="1">
      <alignment horizontal="center" vertical="center"/>
    </xf>
    <xf numFmtId="0" fontId="0" fillId="22" borderId="0" xfId="0" applyFill="1">
      <alignment horizontal="center" vertical="center"/>
    </xf>
    <xf numFmtId="0" fontId="0" fillId="14" borderId="0" xfId="3" applyNumberFormat="1" applyFont="1" applyFill="1">
      <alignment horizontal="center" vertical="center"/>
    </xf>
    <xf numFmtId="0" fontId="25" fillId="14" borderId="0" xfId="0" applyFont="1" applyFill="1" applyAlignment="1">
      <alignment horizontal="left" indent="1"/>
    </xf>
    <xf numFmtId="181" fontId="0" fillId="14" borderId="0" xfId="4" applyNumberFormat="1" applyFont="1" applyFill="1">
      <alignment horizontal="center" vertical="center"/>
    </xf>
    <xf numFmtId="0" fontId="0" fillId="14" borderId="0" xfId="0" applyFill="1" applyAlignment="1">
      <alignment horizontal="right" vertical="center"/>
    </xf>
    <xf numFmtId="9" fontId="0" fillId="14" borderId="0" xfId="1" applyFont="1" applyFill="1" applyAlignment="1">
      <alignment horizontal="center" vertical="center"/>
    </xf>
    <xf numFmtId="169" fontId="0" fillId="0" borderId="0" xfId="0" applyNumberFormat="1" applyAlignment="1">
      <alignment horizontal="center"/>
    </xf>
    <xf numFmtId="11" fontId="0" fillId="12" borderId="0" xfId="2" applyNumberFormat="1" applyFont="1" applyFill="1" applyAlignment="1">
      <alignment horizontal="center" vertical="center"/>
    </xf>
    <xf numFmtId="0" fontId="0" fillId="38" borderId="0" xfId="0" applyFill="1">
      <alignment horizontal="center" vertical="center"/>
    </xf>
    <xf numFmtId="170" fontId="19" fillId="38" borderId="0" xfId="0" applyNumberFormat="1" applyFont="1" applyFill="1" applyAlignment="1">
      <alignment vertical="center"/>
    </xf>
    <xf numFmtId="0" fontId="0" fillId="38" borderId="0" xfId="0" applyFill="1" applyAlignment="1"/>
    <xf numFmtId="180" fontId="0" fillId="20" borderId="0" xfId="4" applyNumberFormat="1" applyFont="1" applyFill="1">
      <alignment horizontal="center" vertical="center"/>
    </xf>
    <xf numFmtId="0" fontId="0" fillId="8" borderId="84" xfId="0" applyFill="1" applyBorder="1">
      <alignment horizontal="center" vertical="center"/>
    </xf>
    <xf numFmtId="0" fontId="0" fillId="8" borderId="86" xfId="0" applyFill="1" applyBorder="1">
      <alignment horizontal="center" vertical="center"/>
    </xf>
    <xf numFmtId="0" fontId="0" fillId="8" borderId="87" xfId="0" applyFill="1" applyBorder="1">
      <alignment horizontal="center" vertical="center"/>
    </xf>
    <xf numFmtId="0" fontId="0" fillId="8" borderId="19" xfId="0" applyFill="1" applyBorder="1">
      <alignment horizontal="center" vertical="center"/>
    </xf>
    <xf numFmtId="0" fontId="0" fillId="8" borderId="89" xfId="0" applyFill="1" applyBorder="1">
      <alignment horizontal="center" vertical="center"/>
    </xf>
    <xf numFmtId="0" fontId="16" fillId="8" borderId="20" xfId="0" applyFont="1" applyFill="1" applyBorder="1">
      <alignment horizontal="center" vertical="center"/>
    </xf>
    <xf numFmtId="0" fontId="16" fillId="8" borderId="85" xfId="0" applyFont="1" applyFill="1" applyBorder="1">
      <alignment horizontal="center" vertical="center"/>
    </xf>
    <xf numFmtId="0" fontId="16" fillId="8" borderId="86" xfId="0" applyFont="1" applyFill="1" applyBorder="1">
      <alignment horizontal="center" vertical="center"/>
    </xf>
    <xf numFmtId="0" fontId="16" fillId="8" borderId="88" xfId="0" applyFont="1" applyFill="1" applyBorder="1">
      <alignment horizontal="center" vertical="center"/>
    </xf>
    <xf numFmtId="0" fontId="0" fillId="8" borderId="0" xfId="0" applyFill="1" applyAlignment="1">
      <alignment horizontal="left" vertical="center" indent="1"/>
    </xf>
    <xf numFmtId="0" fontId="0" fillId="8" borderId="0" xfId="0" applyFill="1" applyAlignment="1">
      <alignment horizontal="left" vertical="center"/>
    </xf>
    <xf numFmtId="2" fontId="0" fillId="8" borderId="0" xfId="4" applyNumberFormat="1" applyFont="1" applyFill="1">
      <alignment horizontal="center" vertical="center"/>
    </xf>
    <xf numFmtId="0" fontId="0" fillId="8" borderId="0" xfId="0" applyFill="1" applyAlignment="1"/>
    <xf numFmtId="2" fontId="16" fillId="8" borderId="0" xfId="0" applyNumberFormat="1" applyFont="1" applyFill="1" applyAlignment="1">
      <alignment horizontal="center"/>
    </xf>
    <xf numFmtId="2" fontId="0" fillId="8" borderId="0" xfId="0" applyNumberFormat="1" applyFill="1">
      <alignment horizontal="center" vertical="center"/>
    </xf>
    <xf numFmtId="179" fontId="0" fillId="0" borderId="0" xfId="4" applyNumberFormat="1" applyFont="1" applyFill="1">
      <alignment horizontal="center" vertical="center"/>
    </xf>
    <xf numFmtId="0" fontId="16" fillId="0" borderId="21" xfId="0" applyFont="1" applyBorder="1">
      <alignment horizontal="center" vertical="center"/>
    </xf>
    <xf numFmtId="0" fontId="22" fillId="0" borderId="0" xfId="0" applyFont="1" applyAlignment="1">
      <alignment horizontal="left" vertical="center"/>
    </xf>
    <xf numFmtId="170" fontId="45" fillId="0" borderId="0" xfId="0" applyNumberFormat="1" applyFont="1" applyAlignment="1">
      <alignment horizontal="center" vertical="center" textRotation="90" wrapText="1"/>
    </xf>
    <xf numFmtId="0" fontId="69" fillId="0" borderId="0" xfId="0" applyFont="1" applyAlignment="1">
      <alignment horizontal="center" vertical="center" textRotation="90" wrapText="1"/>
    </xf>
    <xf numFmtId="0" fontId="34" fillId="10" borderId="0" xfId="0" applyFont="1" applyFill="1" applyAlignment="1">
      <alignment horizontal="center" vertical="center" wrapText="1"/>
    </xf>
    <xf numFmtId="0" fontId="0" fillId="0" borderId="0" xfId="0" applyAlignment="1">
      <alignment horizontal="center" vertical="center" wrapText="1"/>
    </xf>
    <xf numFmtId="170" fontId="77" fillId="29" borderId="0" xfId="0" applyNumberFormat="1" applyFont="1" applyFill="1" applyAlignment="1">
      <alignment horizontal="center" vertical="center" textRotation="90"/>
    </xf>
    <xf numFmtId="170" fontId="21" fillId="2" borderId="52" xfId="0" applyNumberFormat="1" applyFont="1" applyFill="1" applyBorder="1" applyAlignment="1">
      <alignment horizontal="center"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170" fontId="21" fillId="2" borderId="53" xfId="0" applyNumberFormat="1" applyFont="1" applyFill="1" applyBorder="1" applyAlignment="1">
      <alignment horizontal="center" vertical="center" wrapText="1"/>
    </xf>
    <xf numFmtId="167" fontId="0" fillId="12" borderId="0" xfId="4" applyNumberFormat="1" applyFont="1">
      <alignment horizontal="center" vertical="center"/>
    </xf>
  </cellXfs>
  <cellStyles count="23">
    <cellStyle name="60% - Accent4" xfId="17" builtinId="44"/>
    <cellStyle name="Bad" xfId="22" builtinId="27"/>
    <cellStyle name="calcs" xfId="4" xr:uid="{00000000-0005-0000-0000-000001000000}"/>
    <cellStyle name="Comma" xfId="2" builtinId="3"/>
    <cellStyle name="Data - Fixed" xfId="12" xr:uid="{00000000-0005-0000-0000-000003000000}"/>
    <cellStyle name="Data - Manual" xfId="13" xr:uid="{00000000-0005-0000-0000-000004000000}"/>
    <cellStyle name="Heading" xfId="14" xr:uid="{00000000-0005-0000-0000-000005000000}"/>
    <cellStyle name="Heading 4 2 2 2" xfId="15" xr:uid="{00000000-0005-0000-0000-000006000000}"/>
    <cellStyle name="Hyperlink" xfId="21" builtinId="8"/>
    <cellStyle name="Inputs" xfId="3" xr:uid="{00000000-0005-0000-0000-000007000000}"/>
    <cellStyle name="link2others" xfId="7" xr:uid="{00000000-0005-0000-0000-000008000000}"/>
    <cellStyle name="Normal" xfId="0" builtinId="0" customBuiltin="1"/>
    <cellStyle name="Normal 2" xfId="5" xr:uid="{00000000-0005-0000-0000-00000A000000}"/>
    <cellStyle name="Normal 3" xfId="6" xr:uid="{00000000-0005-0000-0000-00000B000000}"/>
    <cellStyle name="Normal 4" xfId="11" xr:uid="{00000000-0005-0000-0000-00000C000000}"/>
    <cellStyle name="Normal 5" xfId="19" xr:uid="{00000000-0005-0000-0000-00000D000000}"/>
    <cellStyle name="Normal 6" xfId="20" xr:uid="{00000000-0005-0000-0000-00000E000000}"/>
    <cellStyle name="Percent" xfId="1" builtinId="5"/>
    <cellStyle name="Percent 2" xfId="8" xr:uid="{00000000-0005-0000-0000-000010000000}"/>
    <cellStyle name="Percent 3" xfId="18" xr:uid="{00000000-0005-0000-0000-000011000000}"/>
    <cellStyle name="subtotal" xfId="9" xr:uid="{00000000-0005-0000-0000-000012000000}"/>
    <cellStyle name="Total 2" xfId="10" xr:uid="{00000000-0005-0000-0000-000013000000}"/>
    <cellStyle name="Value - Calc'n" xfId="16" xr:uid="{00000000-0005-0000-0000-000014000000}"/>
  </cellStyles>
  <dxfs count="2">
    <dxf>
      <font>
        <color auto="1"/>
      </font>
      <fill>
        <patternFill>
          <bgColor theme="5"/>
        </patternFill>
      </fill>
    </dxf>
    <dxf>
      <font>
        <color rgb="FF9C0006"/>
      </font>
      <fill>
        <patternFill>
          <bgColor rgb="FFFFC7CE"/>
        </patternFill>
      </fill>
    </dxf>
  </dxfs>
  <tableStyles count="0" defaultTableStyle="TableStyleMedium2" defaultPivotStyle="PivotStyleLight16"/>
  <colors>
    <mruColors>
      <color rgb="FFFFFFCC"/>
      <color rgb="FF008FCB"/>
      <color rgb="FFFF99FF"/>
      <color rgb="FFCCECFF"/>
      <color rgb="FF0000FF"/>
      <color rgb="FFCCFFCC"/>
      <color rgb="FFFFF8E5"/>
      <color rgb="FFFFF6DD"/>
      <color rgb="FFFFFFFF"/>
      <color rgb="FFF9F9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7.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6.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hartsheet" Target="chartsheets/sheet1.xml"/><Relationship Id="rId23" Type="http://schemas.openxmlformats.org/officeDocument/2006/relationships/externalLink" Target="externalLinks/externalLink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8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5.3008533149151681E-2"/>
          <c:y val="9.4919270833333333E-2"/>
          <c:w val="0.92631508582852895"/>
          <c:h val="0.75110796296296289"/>
        </c:manualLayout>
      </c:layout>
      <c:barChart>
        <c:barDir val="col"/>
        <c:grouping val="clustered"/>
        <c:varyColors val="0"/>
        <c:ser>
          <c:idx val="1"/>
          <c:order val="0"/>
          <c:tx>
            <c:strRef>
              <c:f>KPIs!$D$5</c:f>
              <c:strCache>
                <c:ptCount val="1"/>
                <c:pt idx="0">
                  <c:v>Tether length (m)</c:v>
                </c:pt>
              </c:strCache>
            </c:strRef>
          </c:tx>
          <c:spPr>
            <a:solidFill>
              <a:schemeClr val="accent2"/>
            </a:solidFill>
            <a:ln>
              <a:noFill/>
            </a:ln>
            <a:effectLst/>
          </c:spPr>
          <c:invertIfNegative val="0"/>
          <c:dLbls>
            <c:numFmt formatCode="#,##0" sourceLinked="0"/>
            <c:spPr>
              <a:solidFill>
                <a:srgbClr val="008FCB"/>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KPIs!$F$7:$AK$7</c:f>
              <c:strCache>
                <c:ptCount val="30"/>
                <c:pt idx="0">
                  <c:v>AP3 
150 kW</c:v>
                </c:pt>
                <c:pt idx="1">
                  <c:v>AP4
1 MW</c:v>
                </c:pt>
                <c:pt idx="2">
                  <c:v>AP5
3 MW</c:v>
                </c:pt>
                <c:pt idx="3">
                  <c:v>AP6 
5 MW
Offshore</c:v>
                </c:pt>
                <c:pt idx="4">
                  <c:v>AP5 
4 MW</c:v>
                </c:pt>
                <c:pt idx="5">
                  <c:v>AP6 
8 MW
Offshore</c:v>
                </c:pt>
                <c:pt idx="6">
                  <c:v>HAWT 
3.5 MW</c:v>
                </c:pt>
                <c:pt idx="7">
                  <c:v>HAWT 
8MW 
Offshore</c:v>
                </c:pt>
                <c:pt idx="8">
                  <c:v>Solar PV 
400W
low yield</c:v>
                </c:pt>
                <c:pt idx="9">
                  <c:v>Solar PV 
400W
high yield</c:v>
                </c:pt>
                <c:pt idx="11">
                  <c:v>Value</c:v>
                </c:pt>
                <c:pt idx="12">
                  <c:v>Formula</c:v>
                </c:pt>
                <c:pt idx="13">
                  <c:v>Notes on calculation for AWES</c:v>
                </c:pt>
                <c:pt idx="16">
                  <c:v>Refs SoftKites</c:v>
                </c:pt>
                <c:pt idx="18">
                  <c:v>Refs HAWT</c:v>
                </c:pt>
                <c:pt idx="20">
                  <c:v>Solar PV</c:v>
                </c:pt>
                <c:pt idx="23">
                  <c:v>HAWT Onshore 2 MW</c:v>
                </c:pt>
                <c:pt idx="24">
                  <c:v>Coal Power</c:v>
                </c:pt>
                <c:pt idx="25">
                  <c:v>Gas Power</c:v>
                </c:pt>
                <c:pt idx="26">
                  <c:v>CCGT</c:v>
                </c:pt>
                <c:pt idx="27">
                  <c:v>Nuclear</c:v>
                </c:pt>
                <c:pt idx="28">
                  <c:v>Hydro (22.5 GW)</c:v>
                </c:pt>
                <c:pt idx="29">
                  <c:v>Hydro (methane emissions)</c:v>
                </c:pt>
              </c:strCache>
            </c:strRef>
          </c:cat>
          <c:val>
            <c:numRef>
              <c:f>KPIs!$F$5:$Q$5</c:f>
              <c:numCache>
                <c:formatCode>""#,##0" ";""\-#,##0" ";" "\ \-\ " "</c:formatCode>
                <c:ptCount val="10"/>
                <c:pt idx="0">
                  <c:v>816.69382069232699</c:v>
                </c:pt>
                <c:pt idx="1">
                  <c:v>1217.3876105049831</c:v>
                </c:pt>
                <c:pt idx="2">
                  <c:v>1122.460179268799</c:v>
                </c:pt>
                <c:pt idx="3">
                  <c:v>1416.5331675617315</c:v>
                </c:pt>
                <c:pt idx="4">
                  <c:v>834.03632511516457</c:v>
                </c:pt>
                <c:pt idx="5">
                  <c:v>1114.5473855798061</c:v>
                </c:pt>
                <c:pt idx="6">
                  <c:v>0</c:v>
                </c:pt>
                <c:pt idx="7">
                  <c:v>0</c:v>
                </c:pt>
                <c:pt idx="8">
                  <c:v>0</c:v>
                </c:pt>
                <c:pt idx="9">
                  <c:v>0</c:v>
                </c:pt>
              </c:numCache>
            </c:numRef>
          </c:val>
          <c:extLst>
            <c:ext xmlns:c16="http://schemas.microsoft.com/office/drawing/2014/chart" uri="{C3380CC4-5D6E-409C-BE32-E72D297353CC}">
              <c16:uniqueId val="{00000001-77BB-46D7-8A15-0B1C58927A6E}"/>
            </c:ext>
          </c:extLst>
        </c:ser>
        <c:dLbls>
          <c:showLegendKey val="0"/>
          <c:showVal val="1"/>
          <c:showCatName val="0"/>
          <c:showSerName val="0"/>
          <c:showPercent val="0"/>
          <c:showBubbleSize val="0"/>
        </c:dLbls>
        <c:gapWidth val="75"/>
        <c:axId val="1247435263"/>
        <c:axId val="1247461055"/>
      </c:barChart>
      <c:catAx>
        <c:axId val="124743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247461055"/>
        <c:crosses val="autoZero"/>
        <c:auto val="1"/>
        <c:lblAlgn val="ctr"/>
        <c:lblOffset val="100"/>
        <c:noMultiLvlLbl val="0"/>
      </c:catAx>
      <c:valAx>
        <c:axId val="1247461055"/>
        <c:scaling>
          <c:orientation val="minMax"/>
        </c:scaling>
        <c:delete val="0"/>
        <c:axPos val="l"/>
        <c:numFmt formatCode="#,##0" sourceLinked="0"/>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24743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b="0">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8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5.4146505376344099E-2"/>
          <c:y val="6.4345185185185172E-2"/>
          <c:w val="0.92631508582852895"/>
          <c:h val="0.7746264814814815"/>
        </c:manualLayout>
      </c:layout>
      <c:barChart>
        <c:barDir val="col"/>
        <c:grouping val="clustered"/>
        <c:varyColors val="0"/>
        <c:ser>
          <c:idx val="1"/>
          <c:order val="0"/>
          <c:tx>
            <c:strRef>
              <c:f>KPIs!$D$5</c:f>
              <c:strCache>
                <c:ptCount val="1"/>
                <c:pt idx="0">
                  <c:v>Tether length (m)</c:v>
                </c:pt>
              </c:strCache>
            </c:strRef>
          </c:tx>
          <c:spPr>
            <a:solidFill>
              <a:schemeClr val="accent2"/>
            </a:solidFill>
            <a:ln>
              <a:noFill/>
            </a:ln>
            <a:effectLst/>
          </c:spPr>
          <c:invertIfNegative val="0"/>
          <c:dLbls>
            <c:numFmt formatCode="0%" sourceLinked="0"/>
            <c:spPr>
              <a:solidFill>
                <a:srgbClr val="008FCB"/>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KPIs!$F$7:$AK$7</c:f>
              <c:strCache>
                <c:ptCount val="30"/>
                <c:pt idx="0">
                  <c:v>AP3 
150 kW</c:v>
                </c:pt>
                <c:pt idx="1">
                  <c:v>AP4
1 MW</c:v>
                </c:pt>
                <c:pt idx="2">
                  <c:v>AP5
3 MW</c:v>
                </c:pt>
                <c:pt idx="3">
                  <c:v>AP6 
5 MW
Offshore</c:v>
                </c:pt>
                <c:pt idx="4">
                  <c:v>AP5 
4 MW</c:v>
                </c:pt>
                <c:pt idx="5">
                  <c:v>AP6 
8 MW
Offshore</c:v>
                </c:pt>
                <c:pt idx="6">
                  <c:v>HAWT 
3.5 MW</c:v>
                </c:pt>
                <c:pt idx="7">
                  <c:v>HAWT 
8MW 
Offshore</c:v>
                </c:pt>
                <c:pt idx="8">
                  <c:v>Solar PV 
400W
low yield</c:v>
                </c:pt>
                <c:pt idx="9">
                  <c:v>Solar PV 
400W
high yield</c:v>
                </c:pt>
                <c:pt idx="11">
                  <c:v>Value</c:v>
                </c:pt>
                <c:pt idx="12">
                  <c:v>Formula</c:v>
                </c:pt>
                <c:pt idx="13">
                  <c:v>Notes on calculation for AWES</c:v>
                </c:pt>
                <c:pt idx="16">
                  <c:v>Refs SoftKites</c:v>
                </c:pt>
                <c:pt idx="18">
                  <c:v>Refs HAWT</c:v>
                </c:pt>
                <c:pt idx="20">
                  <c:v>Solar PV</c:v>
                </c:pt>
                <c:pt idx="23">
                  <c:v>HAWT Onshore 2 MW</c:v>
                </c:pt>
                <c:pt idx="24">
                  <c:v>Coal Power</c:v>
                </c:pt>
                <c:pt idx="25">
                  <c:v>Gas Power</c:v>
                </c:pt>
                <c:pt idx="26">
                  <c:v>CCGT</c:v>
                </c:pt>
                <c:pt idx="27">
                  <c:v>Nuclear</c:v>
                </c:pt>
                <c:pt idx="28">
                  <c:v>Hydro (22.5 GW)</c:v>
                </c:pt>
                <c:pt idx="29">
                  <c:v>Hydro (methane emissions)</c:v>
                </c:pt>
              </c:strCache>
            </c:strRef>
          </c:cat>
          <c:val>
            <c:numRef>
              <c:f>KPIs!$F$5:$Q$5</c:f>
              <c:numCache>
                <c:formatCode>""#,##0" ";""\-#,##0" ";" "\ \-\ " "</c:formatCode>
                <c:ptCount val="10"/>
                <c:pt idx="0">
                  <c:v>816.69382069232699</c:v>
                </c:pt>
                <c:pt idx="1">
                  <c:v>1217.3876105049831</c:v>
                </c:pt>
                <c:pt idx="2">
                  <c:v>1122.460179268799</c:v>
                </c:pt>
                <c:pt idx="3">
                  <c:v>1416.5331675617315</c:v>
                </c:pt>
                <c:pt idx="4">
                  <c:v>834.03632511516457</c:v>
                </c:pt>
                <c:pt idx="5">
                  <c:v>1114.5473855798061</c:v>
                </c:pt>
                <c:pt idx="6">
                  <c:v>0</c:v>
                </c:pt>
                <c:pt idx="7">
                  <c:v>0</c:v>
                </c:pt>
                <c:pt idx="8">
                  <c:v>0</c:v>
                </c:pt>
                <c:pt idx="9">
                  <c:v>0</c:v>
                </c:pt>
              </c:numCache>
            </c:numRef>
          </c:val>
          <c:extLst>
            <c:ext xmlns:c16="http://schemas.microsoft.com/office/drawing/2014/chart" uri="{C3380CC4-5D6E-409C-BE32-E72D297353CC}">
              <c16:uniqueId val="{0000000C-6F34-461A-B7B9-897CBAA671BA}"/>
            </c:ext>
          </c:extLst>
        </c:ser>
        <c:dLbls>
          <c:showLegendKey val="0"/>
          <c:showVal val="1"/>
          <c:showCatName val="0"/>
          <c:showSerName val="0"/>
          <c:showPercent val="0"/>
          <c:showBubbleSize val="0"/>
        </c:dLbls>
        <c:gapWidth val="75"/>
        <c:axId val="1247435263"/>
        <c:axId val="1247461055"/>
      </c:barChart>
      <c:catAx>
        <c:axId val="124743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247461055"/>
        <c:crosses val="autoZero"/>
        <c:auto val="1"/>
        <c:lblAlgn val="ctr"/>
        <c:lblOffset val="100"/>
        <c:noMultiLvlLbl val="0"/>
      </c:catAx>
      <c:valAx>
        <c:axId val="1247461055"/>
        <c:scaling>
          <c:orientation val="minMax"/>
        </c:scaling>
        <c:delete val="0"/>
        <c:axPos val="l"/>
        <c:numFmt formatCode="0%" sourceLinked="0"/>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24743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b="0">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8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5.3008533149151681E-2"/>
          <c:y val="9.4919270833333333E-2"/>
          <c:w val="0.92631508582852895"/>
          <c:h val="0.75110796296296289"/>
        </c:manualLayout>
      </c:layout>
      <c:barChart>
        <c:barDir val="col"/>
        <c:grouping val="clustered"/>
        <c:varyColors val="0"/>
        <c:ser>
          <c:idx val="1"/>
          <c:order val="0"/>
          <c:tx>
            <c:strRef>
              <c:f>KPIs!$D$5</c:f>
              <c:strCache>
                <c:ptCount val="1"/>
                <c:pt idx="0">
                  <c:v>Tether length (m)</c:v>
                </c:pt>
              </c:strCache>
            </c:strRef>
          </c:tx>
          <c:spPr>
            <a:solidFill>
              <a:schemeClr val="accent2"/>
            </a:solidFill>
            <a:ln>
              <a:noFill/>
            </a:ln>
            <a:effectLst/>
          </c:spPr>
          <c:invertIfNegative val="0"/>
          <c:dLbls>
            <c:numFmt formatCode="#,##0.0" sourceLinked="0"/>
            <c:spPr>
              <a:solidFill>
                <a:srgbClr val="008FCB"/>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KPIs!$F$7:$AK$7</c:f>
              <c:strCache>
                <c:ptCount val="30"/>
                <c:pt idx="0">
                  <c:v>AP3 
150 kW</c:v>
                </c:pt>
                <c:pt idx="1">
                  <c:v>AP4
1 MW</c:v>
                </c:pt>
                <c:pt idx="2">
                  <c:v>AP5
3 MW</c:v>
                </c:pt>
                <c:pt idx="3">
                  <c:v>AP6 
5 MW
Offshore</c:v>
                </c:pt>
                <c:pt idx="4">
                  <c:v>AP5 
4 MW</c:v>
                </c:pt>
                <c:pt idx="5">
                  <c:v>AP6 
8 MW
Offshore</c:v>
                </c:pt>
                <c:pt idx="6">
                  <c:v>HAWT 
3.5 MW</c:v>
                </c:pt>
                <c:pt idx="7">
                  <c:v>HAWT 
8MW 
Offshore</c:v>
                </c:pt>
                <c:pt idx="8">
                  <c:v>Solar PV 
400W
low yield</c:v>
                </c:pt>
                <c:pt idx="9">
                  <c:v>Solar PV 
400W
high yield</c:v>
                </c:pt>
                <c:pt idx="11">
                  <c:v>Value</c:v>
                </c:pt>
                <c:pt idx="12">
                  <c:v>Formula</c:v>
                </c:pt>
                <c:pt idx="13">
                  <c:v>Notes on calculation for AWES</c:v>
                </c:pt>
                <c:pt idx="16">
                  <c:v>Refs SoftKites</c:v>
                </c:pt>
                <c:pt idx="18">
                  <c:v>Refs HAWT</c:v>
                </c:pt>
                <c:pt idx="20">
                  <c:v>Solar PV</c:v>
                </c:pt>
                <c:pt idx="23">
                  <c:v>HAWT Onshore 2 MW</c:v>
                </c:pt>
                <c:pt idx="24">
                  <c:v>Coal Power</c:v>
                </c:pt>
                <c:pt idx="25">
                  <c:v>Gas Power</c:v>
                </c:pt>
                <c:pt idx="26">
                  <c:v>CCGT</c:v>
                </c:pt>
                <c:pt idx="27">
                  <c:v>Nuclear</c:v>
                </c:pt>
                <c:pt idx="28">
                  <c:v>Hydro (22.5 GW)</c:v>
                </c:pt>
                <c:pt idx="29">
                  <c:v>Hydro (methane emissions)</c:v>
                </c:pt>
              </c:strCache>
            </c:strRef>
          </c:cat>
          <c:val>
            <c:numRef>
              <c:f>KPIs!$F$5:$Q$5</c:f>
              <c:numCache>
                <c:formatCode>""#,##0" ";""\-#,##0" ";" "\ \-\ " "</c:formatCode>
                <c:ptCount val="10"/>
                <c:pt idx="0">
                  <c:v>816.69382069232699</c:v>
                </c:pt>
                <c:pt idx="1">
                  <c:v>1217.3876105049831</c:v>
                </c:pt>
                <c:pt idx="2">
                  <c:v>1122.460179268799</c:v>
                </c:pt>
                <c:pt idx="3">
                  <c:v>1416.5331675617315</c:v>
                </c:pt>
                <c:pt idx="4">
                  <c:v>834.03632511516457</c:v>
                </c:pt>
                <c:pt idx="5">
                  <c:v>1114.5473855798061</c:v>
                </c:pt>
                <c:pt idx="6">
                  <c:v>0</c:v>
                </c:pt>
                <c:pt idx="7">
                  <c:v>0</c:v>
                </c:pt>
                <c:pt idx="8">
                  <c:v>0</c:v>
                </c:pt>
                <c:pt idx="9">
                  <c:v>0</c:v>
                </c:pt>
              </c:numCache>
            </c:numRef>
          </c:val>
          <c:extLst>
            <c:ext xmlns:c16="http://schemas.microsoft.com/office/drawing/2014/chart" uri="{C3380CC4-5D6E-409C-BE32-E72D297353CC}">
              <c16:uniqueId val="{00000001-77BB-46D7-8A15-0B1C58927A6E}"/>
            </c:ext>
          </c:extLst>
        </c:ser>
        <c:dLbls>
          <c:showLegendKey val="0"/>
          <c:showVal val="1"/>
          <c:showCatName val="0"/>
          <c:showSerName val="0"/>
          <c:showPercent val="0"/>
          <c:showBubbleSize val="0"/>
        </c:dLbls>
        <c:gapWidth val="75"/>
        <c:axId val="1247435263"/>
        <c:axId val="1247461055"/>
      </c:barChart>
      <c:catAx>
        <c:axId val="124743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247461055"/>
        <c:crosses val="autoZero"/>
        <c:auto val="1"/>
        <c:lblAlgn val="ctr"/>
        <c:lblOffset val="100"/>
        <c:noMultiLvlLbl val="0"/>
      </c:catAx>
      <c:valAx>
        <c:axId val="1247461055"/>
        <c:scaling>
          <c:orientation val="minMax"/>
        </c:scaling>
        <c:delete val="0"/>
        <c:axPos val="l"/>
        <c:numFmt formatCode="#,##0" sourceLinked="0"/>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24743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b="0">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371422461715167E-4"/>
          <c:y val="2.0383576101526812E-2"/>
          <c:w val="0.93604841871586586"/>
          <c:h val="0.97047904986992051"/>
        </c:manualLayout>
      </c:layout>
      <c:pieChart>
        <c:varyColors val="1"/>
        <c:ser>
          <c:idx val="0"/>
          <c:order val="0"/>
          <c:spPr>
            <a:solidFill>
              <a:srgbClr val="004560"/>
            </a:solidFill>
          </c:spPr>
          <c:dPt>
            <c:idx val="0"/>
            <c:bubble3D val="0"/>
            <c:spPr>
              <a:solidFill>
                <a:srgbClr val="004560"/>
              </a:solidFill>
              <a:ln w="19050">
                <a:solidFill>
                  <a:schemeClr val="lt1"/>
                </a:solidFill>
              </a:ln>
              <a:effectLst/>
            </c:spPr>
            <c:extLst>
              <c:ext xmlns:c16="http://schemas.microsoft.com/office/drawing/2014/chart" uri="{C3380CC4-5D6E-409C-BE32-E72D297353CC}">
                <c16:uniqueId val="{00000001-F833-421B-9AFD-E9463263864E}"/>
              </c:ext>
            </c:extLst>
          </c:dPt>
          <c:dPt>
            <c:idx val="1"/>
            <c:bubble3D val="0"/>
            <c:spPr>
              <a:solidFill>
                <a:srgbClr val="004560"/>
              </a:solidFill>
              <a:ln w="19050">
                <a:solidFill>
                  <a:schemeClr val="lt1"/>
                </a:solidFill>
              </a:ln>
              <a:effectLst/>
            </c:spPr>
            <c:extLst>
              <c:ext xmlns:c16="http://schemas.microsoft.com/office/drawing/2014/chart" uri="{C3380CC4-5D6E-409C-BE32-E72D297353CC}">
                <c16:uniqueId val="{00000003-F833-421B-9AFD-E9463263864E}"/>
              </c:ext>
            </c:extLst>
          </c:dPt>
          <c:dPt>
            <c:idx val="2"/>
            <c:bubble3D val="0"/>
            <c:spPr>
              <a:solidFill>
                <a:srgbClr val="004560"/>
              </a:solidFill>
              <a:ln w="19050">
                <a:solidFill>
                  <a:schemeClr val="lt1"/>
                </a:solidFill>
              </a:ln>
              <a:effectLst/>
            </c:spPr>
            <c:extLst>
              <c:ext xmlns:c16="http://schemas.microsoft.com/office/drawing/2014/chart" uri="{C3380CC4-5D6E-409C-BE32-E72D297353CC}">
                <c16:uniqueId val="{00000005-F833-421B-9AFD-E9463263864E}"/>
              </c:ext>
            </c:extLst>
          </c:dPt>
          <c:dPt>
            <c:idx val="3"/>
            <c:bubble3D val="0"/>
            <c:spPr>
              <a:solidFill>
                <a:srgbClr val="004560"/>
              </a:solidFill>
              <a:ln w="19050">
                <a:solidFill>
                  <a:schemeClr val="lt1"/>
                </a:solidFill>
              </a:ln>
              <a:effectLst/>
            </c:spPr>
            <c:extLst>
              <c:ext xmlns:c16="http://schemas.microsoft.com/office/drawing/2014/chart" uri="{C3380CC4-5D6E-409C-BE32-E72D297353CC}">
                <c16:uniqueId val="{00000007-F833-421B-9AFD-E9463263864E}"/>
              </c:ext>
            </c:extLst>
          </c:dPt>
          <c:dPt>
            <c:idx val="4"/>
            <c:bubble3D val="0"/>
            <c:spPr>
              <a:solidFill>
                <a:srgbClr val="004560"/>
              </a:solidFill>
              <a:ln w="19050">
                <a:solidFill>
                  <a:schemeClr val="lt1"/>
                </a:solidFill>
              </a:ln>
              <a:effectLst/>
            </c:spPr>
            <c:extLst>
              <c:ext xmlns:c16="http://schemas.microsoft.com/office/drawing/2014/chart" uri="{C3380CC4-5D6E-409C-BE32-E72D297353CC}">
                <c16:uniqueId val="{00000009-F833-421B-9AFD-E9463263864E}"/>
              </c:ext>
            </c:extLst>
          </c:dPt>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'LCOE analysis'!$X$90:$X$94</c:f>
              <c:strCache>
                <c:ptCount val="5"/>
                <c:pt idx="0">
                  <c:v>AWES Capex</c:v>
                </c:pt>
                <c:pt idx="1">
                  <c:v>BOP Capex</c:v>
                </c:pt>
                <c:pt idx="2">
                  <c:v>Parts Opex</c:v>
                </c:pt>
                <c:pt idx="3">
                  <c:v>BOP Opex</c:v>
                </c:pt>
                <c:pt idx="4">
                  <c:v>Ampyx Margin</c:v>
                </c:pt>
              </c:strCache>
            </c:strRef>
          </c:cat>
          <c:val>
            <c:numRef>
              <c:f>'LCOE analysis'!$Z$90:$Z$94</c:f>
              <c:numCache>
                <c:formatCode>""#,##0"";""\-#,##0"";" "\ \-\ " "</c:formatCode>
                <c:ptCount val="5"/>
                <c:pt idx="0">
                  <c:v>52.721255239764403</c:v>
                </c:pt>
                <c:pt idx="1">
                  <c:v>23.027317325383343</c:v>
                </c:pt>
                <c:pt idx="2">
                  <c:v>13.15337937966239</c:v>
                </c:pt>
                <c:pt idx="3">
                  <c:v>2.2774870070074305</c:v>
                </c:pt>
                <c:pt idx="4">
                  <c:v>6.5874634619426793</c:v>
                </c:pt>
              </c:numCache>
            </c:numRef>
          </c:val>
          <c:extLst>
            <c:ext xmlns:c16="http://schemas.microsoft.com/office/drawing/2014/chart" uri="{C3380CC4-5D6E-409C-BE32-E72D297353CC}">
              <c16:uniqueId val="{0000000A-F833-421B-9AFD-E9463263864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Nunito" panose="00000500000000000000" pitchFamily="2" charset="0"/>
                <a:ea typeface="+mn-ea"/>
                <a:cs typeface="+mn-cs"/>
              </a:defRPr>
            </a:pPr>
            <a:r>
              <a:rPr lang="en-US"/>
              <a:t>Estimated power curve - wind at pattern height</a:t>
            </a:r>
          </a:p>
        </c:rich>
      </c:tx>
      <c:layout>
        <c:manualLayout>
          <c:xMode val="edge"/>
          <c:yMode val="edge"/>
          <c:x val="0.26417027334446191"/>
          <c:y val="1.6879170015708336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Nunito" panose="00000500000000000000" pitchFamily="2" charset="0"/>
              <a:ea typeface="+mn-ea"/>
              <a:cs typeface="+mn-cs"/>
            </a:defRPr>
          </a:pPr>
          <a:endParaRPr lang="en-US"/>
        </a:p>
      </c:txPr>
    </c:title>
    <c:autoTitleDeleted val="0"/>
    <c:plotArea>
      <c:layout>
        <c:manualLayout>
          <c:layoutTarget val="inner"/>
          <c:xMode val="edge"/>
          <c:yMode val="edge"/>
          <c:x val="0.13848596986823822"/>
          <c:y val="7.1497434820919609E-2"/>
          <c:w val="0.81278351703885732"/>
          <c:h val="0.80504951492776577"/>
        </c:manualLayout>
      </c:layout>
      <c:scatterChart>
        <c:scatterStyle val="lineMarker"/>
        <c:varyColors val="0"/>
        <c:ser>
          <c:idx val="5"/>
          <c:order val="0"/>
          <c:tx>
            <c:strRef>
              <c:f>'Simple models'!$G$3</c:f>
              <c:strCache>
                <c:ptCount val="1"/>
                <c:pt idx="0">
                  <c:v>Simple - ideal</c:v>
                </c:pt>
              </c:strCache>
            </c:strRef>
          </c:tx>
          <c:spPr>
            <a:ln w="19050" cap="rnd">
              <a:solidFill>
                <a:schemeClr val="accent6"/>
              </a:solidFill>
              <a:round/>
            </a:ln>
            <a:effectLst/>
          </c:spPr>
          <c:marker>
            <c:symbol val="none"/>
          </c:marker>
          <c:xVal>
            <c:numRef>
              <c:f>'Simple models'!$A$5:$A$29</c:f>
              <c:numCache>
                <c:formatCode>General</c:formatCod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numCache>
            </c:numRef>
          </c:xVal>
          <c:yVal>
            <c:numRef>
              <c:f>'Simple models'!$K$5:$K$29</c:f>
              <c:numCache>
                <c:formatCode>0.00E+00</c:formatCode>
                <c:ptCount val="25"/>
                <c:pt idx="0">
                  <c:v>60.514723655293977</c:v>
                </c:pt>
                <c:pt idx="1">
                  <c:v>484.11778924235182</c:v>
                </c:pt>
                <c:pt idx="2">
                  <c:v>1633.8975386929369</c:v>
                </c:pt>
                <c:pt idx="3">
                  <c:v>3872.9423139388146</c:v>
                </c:pt>
                <c:pt idx="4">
                  <c:v>7564.3404569117483</c:v>
                </c:pt>
                <c:pt idx="5">
                  <c:v>13071.180309543495</c:v>
                </c:pt>
                <c:pt idx="6">
                  <c:v>20756.550213765837</c:v>
                </c:pt>
                <c:pt idx="7">
                  <c:v>30983.538511510516</c:v>
                </c:pt>
                <c:pt idx="8">
                  <c:v>44115.233544709306</c:v>
                </c:pt>
                <c:pt idx="9">
                  <c:v>60514.723655293987</c:v>
                </c:pt>
                <c:pt idx="10">
                  <c:v>80545.097185196297</c:v>
                </c:pt>
                <c:pt idx="11">
                  <c:v>103636.28222116962</c:v>
                </c:pt>
                <c:pt idx="12">
                  <c:v>126953.44477525924</c:v>
                </c:pt>
                <c:pt idx="13">
                  <c:v>150000</c:v>
                </c:pt>
                <c:pt idx="14">
                  <c:v>150000</c:v>
                </c:pt>
                <c:pt idx="15">
                  <c:v>150000</c:v>
                </c:pt>
                <c:pt idx="16">
                  <c:v>150000</c:v>
                </c:pt>
                <c:pt idx="17">
                  <c:v>150000</c:v>
                </c:pt>
                <c:pt idx="18">
                  <c:v>150000</c:v>
                </c:pt>
                <c:pt idx="19">
                  <c:v>150000</c:v>
                </c:pt>
                <c:pt idx="20">
                  <c:v>150000</c:v>
                </c:pt>
                <c:pt idx="21">
                  <c:v>150000</c:v>
                </c:pt>
                <c:pt idx="22">
                  <c:v>150000</c:v>
                </c:pt>
                <c:pt idx="23">
                  <c:v>150000</c:v>
                </c:pt>
                <c:pt idx="24">
                  <c:v>150000</c:v>
                </c:pt>
              </c:numCache>
            </c:numRef>
          </c:yVal>
          <c:smooth val="0"/>
          <c:extLst>
            <c:ext xmlns:c16="http://schemas.microsoft.com/office/drawing/2014/chart" uri="{C3380CC4-5D6E-409C-BE32-E72D297353CC}">
              <c16:uniqueId val="{00000000-3D29-4646-8BF2-AE1D3A8082DD}"/>
            </c:ext>
          </c:extLst>
        </c:ser>
        <c:ser>
          <c:idx val="0"/>
          <c:order val="1"/>
          <c:tx>
            <c:v>Analytical Powercurve</c:v>
          </c:tx>
          <c:spPr>
            <a:ln w="38100" cap="rnd">
              <a:solidFill>
                <a:schemeClr val="bg1">
                  <a:lumMod val="65000"/>
                </a:schemeClr>
              </a:solidFill>
              <a:round/>
            </a:ln>
            <a:effectLst/>
          </c:spPr>
          <c:marker>
            <c:symbol val="none"/>
          </c:marker>
          <c:xVal>
            <c:numRef>
              <c:f>Performance!$A$83:$A$100</c:f>
              <c:numCache>
                <c:formatCode>General</c:formatCode>
                <c:ptCount val="18"/>
                <c:pt idx="0" formatCode="0">
                  <c:v>1E-4</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xVal>
          <c:yVal>
            <c:numRef>
              <c:f>Performance!$AJ$83:$AJ$100</c:f>
              <c:numCache>
                <c:formatCode>0.000E+00</c:formatCode>
                <c:ptCount val="18"/>
                <c:pt idx="0">
                  <c:v>0</c:v>
                </c:pt>
                <c:pt idx="1">
                  <c:v>0</c:v>
                </c:pt>
                <c:pt idx="2">
                  <c:v>0</c:v>
                </c:pt>
                <c:pt idx="3">
                  <c:v>788.06819941360129</c:v>
                </c:pt>
                <c:pt idx="4">
                  <c:v>2602.942013361444</c:v>
                </c:pt>
                <c:pt idx="5">
                  <c:v>5484.0649007200518</c:v>
                </c:pt>
                <c:pt idx="6">
                  <c:v>9787.2132326591363</c:v>
                </c:pt>
                <c:pt idx="7">
                  <c:v>15952.825316398403</c:v>
                </c:pt>
                <c:pt idx="8">
                  <c:v>24192.623078079549</c:v>
                </c:pt>
                <c:pt idx="9">
                  <c:v>34805.061917592669</c:v>
                </c:pt>
                <c:pt idx="10">
                  <c:v>48349.546721198167</c:v>
                </c:pt>
                <c:pt idx="11">
                  <c:v>65095.440204785147</c:v>
                </c:pt>
                <c:pt idx="12">
                  <c:v>84604.615140985305</c:v>
                </c:pt>
                <c:pt idx="13">
                  <c:v>106704.84908644634</c:v>
                </c:pt>
                <c:pt idx="14">
                  <c:v>126165.96458802251</c:v>
                </c:pt>
                <c:pt idx="15">
                  <c:v>141245.56065043906</c:v>
                </c:pt>
                <c:pt idx="16">
                  <c:v>149378.38133740137</c:v>
                </c:pt>
                <c:pt idx="17">
                  <c:v>149114.64793158477</c:v>
                </c:pt>
              </c:numCache>
            </c:numRef>
          </c:yVal>
          <c:smooth val="0"/>
          <c:extLst>
            <c:ext xmlns:c16="http://schemas.microsoft.com/office/drawing/2014/chart" uri="{C3380CC4-5D6E-409C-BE32-E72D297353CC}">
              <c16:uniqueId val="{00000001-3D29-4646-8BF2-AE1D3A8082DD}"/>
            </c:ext>
          </c:extLst>
        </c:ser>
        <c:ser>
          <c:idx val="1"/>
          <c:order val="2"/>
          <c:tx>
            <c:v>High fidelity simulation 6DOF</c:v>
          </c:tx>
          <c:spPr>
            <a:ln w="31750" cap="rnd">
              <a:solidFill>
                <a:schemeClr val="tx1"/>
              </a:solidFill>
              <a:round/>
            </a:ln>
            <a:effectLst/>
          </c:spPr>
          <c:marker>
            <c:symbol val="none"/>
          </c:marker>
          <c:xVal>
            <c:numRef>
              <c:f>Performance!$X$25:$X$37</c:f>
              <c:numCache>
                <c:formatCode>0.00E+00</c:formatCode>
                <c:ptCount val="13"/>
                <c:pt idx="0">
                  <c:v>7.3198198198198199</c:v>
                </c:pt>
                <c:pt idx="1">
                  <c:v>8.0180180180180205</c:v>
                </c:pt>
                <c:pt idx="2">
                  <c:v>9.0540540540540508</c:v>
                </c:pt>
                <c:pt idx="3">
                  <c:v>10.0225225225225</c:v>
                </c:pt>
                <c:pt idx="4">
                  <c:v>11.0135135135135</c:v>
                </c:pt>
                <c:pt idx="5">
                  <c:v>12.027027027027</c:v>
                </c:pt>
                <c:pt idx="6">
                  <c:v>13.040540540540499</c:v>
                </c:pt>
                <c:pt idx="7">
                  <c:v>14.054054054053999</c:v>
                </c:pt>
                <c:pt idx="8">
                  <c:v>15.0225225225225</c:v>
                </c:pt>
                <c:pt idx="9">
                  <c:v>16.036036036035998</c:v>
                </c:pt>
                <c:pt idx="10">
                  <c:v>17.004504504504499</c:v>
                </c:pt>
                <c:pt idx="11">
                  <c:v>18.040540540540501</c:v>
                </c:pt>
                <c:pt idx="12">
                  <c:v>19.009009009008999</c:v>
                </c:pt>
              </c:numCache>
            </c:numRef>
          </c:xVal>
          <c:yVal>
            <c:numRef>
              <c:f>Performance!$Z$25:$Z$37</c:f>
              <c:numCache>
                <c:formatCode>0.00E+00</c:formatCode>
                <c:ptCount val="13"/>
                <c:pt idx="0">
                  <c:v>0</c:v>
                </c:pt>
                <c:pt idx="1">
                  <c:v>7008.0862533692698</c:v>
                </c:pt>
                <c:pt idx="2">
                  <c:v>23719.676549865202</c:v>
                </c:pt>
                <c:pt idx="3">
                  <c:v>43126.684636118604</c:v>
                </c:pt>
                <c:pt idx="4">
                  <c:v>64690.026954177898</c:v>
                </c:pt>
                <c:pt idx="5">
                  <c:v>84636.118598382804</c:v>
                </c:pt>
                <c:pt idx="6">
                  <c:v>102425.87601078099</c:v>
                </c:pt>
                <c:pt idx="7">
                  <c:v>119676.54986522901</c:v>
                </c:pt>
                <c:pt idx="8">
                  <c:v>134231.80592991901</c:v>
                </c:pt>
                <c:pt idx="9">
                  <c:v>149326.14555256098</c:v>
                </c:pt>
                <c:pt idx="10">
                  <c:v>150000</c:v>
                </c:pt>
                <c:pt idx="11">
                  <c:v>150000</c:v>
                </c:pt>
                <c:pt idx="12">
                  <c:v>150000</c:v>
                </c:pt>
              </c:numCache>
            </c:numRef>
          </c:yVal>
          <c:smooth val="0"/>
          <c:extLst>
            <c:ext xmlns:c16="http://schemas.microsoft.com/office/drawing/2014/chart" uri="{C3380CC4-5D6E-409C-BE32-E72D297353CC}">
              <c16:uniqueId val="{00000002-3D29-4646-8BF2-AE1D3A8082DD}"/>
            </c:ext>
          </c:extLst>
        </c:ser>
        <c:ser>
          <c:idx val="2"/>
          <c:order val="3"/>
          <c:tx>
            <c:v>All without oscillation</c:v>
          </c:tx>
          <c:spPr>
            <a:ln w="19050" cap="rnd">
              <a:solidFill>
                <a:schemeClr val="accent3"/>
              </a:solidFill>
              <a:round/>
            </a:ln>
            <a:effectLst/>
          </c:spPr>
          <c:marker>
            <c:symbol val="none"/>
          </c:marker>
          <c:xVal>
            <c:numRef>
              <c:f>Performance!$A$83:$A$108</c:f>
              <c:numCache>
                <c:formatCode>General</c:formatCode>
                <c:ptCount val="26"/>
                <c:pt idx="0" formatCode="0">
                  <c:v>1E-4</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xVal>
          <c:yVal>
            <c:numRef>
              <c:f>Performance!$F$83:$F$108</c:f>
              <c:numCache>
                <c:formatCode>0.00E+00</c:formatCode>
                <c:ptCount val="26"/>
                <c:pt idx="0">
                  <c:v>0</c:v>
                </c:pt>
                <c:pt idx="1">
                  <c:v>0</c:v>
                </c:pt>
                <c:pt idx="2">
                  <c:v>0</c:v>
                </c:pt>
                <c:pt idx="3">
                  <c:v>788.06819941360118</c:v>
                </c:pt>
                <c:pt idx="4">
                  <c:v>2602.9420133614453</c:v>
                </c:pt>
                <c:pt idx="5">
                  <c:v>5484.0649007200536</c:v>
                </c:pt>
                <c:pt idx="6">
                  <c:v>9787.2132326591363</c:v>
                </c:pt>
                <c:pt idx="7">
                  <c:v>15952.825316398405</c:v>
                </c:pt>
                <c:pt idx="8">
                  <c:v>24192.623078079559</c:v>
                </c:pt>
                <c:pt idx="9">
                  <c:v>34805.061917592677</c:v>
                </c:pt>
                <c:pt idx="10">
                  <c:v>48349.546721198189</c:v>
                </c:pt>
                <c:pt idx="11">
                  <c:v>65095.440204785133</c:v>
                </c:pt>
                <c:pt idx="12">
                  <c:v>84604.615140985305</c:v>
                </c:pt>
                <c:pt idx="13">
                  <c:v>106704.84908644632</c:v>
                </c:pt>
                <c:pt idx="14">
                  <c:v>126165.96458802253</c:v>
                </c:pt>
                <c:pt idx="15">
                  <c:v>142931.56871317016</c:v>
                </c:pt>
                <c:pt idx="16">
                  <c:v>150000</c:v>
                </c:pt>
                <c:pt idx="17">
                  <c:v>150000</c:v>
                </c:pt>
                <c:pt idx="18">
                  <c:v>150000</c:v>
                </c:pt>
                <c:pt idx="19">
                  <c:v>150000</c:v>
                </c:pt>
                <c:pt idx="20">
                  <c:v>150000</c:v>
                </c:pt>
                <c:pt idx="21">
                  <c:v>150000</c:v>
                </c:pt>
                <c:pt idx="22">
                  <c:v>150000</c:v>
                </c:pt>
                <c:pt idx="23">
                  <c:v>150000</c:v>
                </c:pt>
                <c:pt idx="24">
                  <c:v>150000</c:v>
                </c:pt>
                <c:pt idx="25">
                  <c:v>150000</c:v>
                </c:pt>
              </c:numCache>
            </c:numRef>
          </c:yVal>
          <c:smooth val="0"/>
          <c:extLst>
            <c:ext xmlns:c16="http://schemas.microsoft.com/office/drawing/2014/chart" uri="{C3380CC4-5D6E-409C-BE32-E72D297353CC}">
              <c16:uniqueId val="{00000003-82AD-424E-91FB-97EA7FF4EB43}"/>
            </c:ext>
          </c:extLst>
        </c:ser>
        <c:dLbls>
          <c:showLegendKey val="0"/>
          <c:showVal val="0"/>
          <c:showCatName val="0"/>
          <c:showSerName val="0"/>
          <c:showPercent val="0"/>
          <c:showBubbleSize val="0"/>
        </c:dLbls>
        <c:axId val="530347688"/>
        <c:axId val="530348472"/>
      </c:scatterChart>
      <c:valAx>
        <c:axId val="530347688"/>
        <c:scaling>
          <c:orientation val="minMax"/>
          <c:max val="2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r>
                  <a:rPr lang="en-US"/>
                  <a:t>Wind at pattern height (m/s)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crossAx val="530348472"/>
        <c:crosses val="autoZero"/>
        <c:crossBetween val="midCat"/>
      </c:valAx>
      <c:valAx>
        <c:axId val="530348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r>
                  <a:rPr lang="en-US"/>
                  <a:t>Power to grid (MW)</a:t>
                </a:r>
              </a:p>
            </c:rich>
          </c:tx>
          <c:layout>
            <c:manualLayout>
              <c:xMode val="edge"/>
              <c:yMode val="edge"/>
              <c:x val="1.5898733042574588E-2"/>
              <c:y val="0.34410696706265564"/>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crossAx val="530347688"/>
        <c:crosses val="autoZero"/>
        <c:crossBetween val="midCat"/>
        <c:dispUnits>
          <c:builtInUnit val="millions"/>
        </c:dispUnits>
      </c:valAx>
      <c:spPr>
        <a:noFill/>
        <a:ln>
          <a:noFill/>
        </a:ln>
        <a:effectLst/>
      </c:spPr>
    </c:plotArea>
    <c:legend>
      <c:legendPos val="r"/>
      <c:layout>
        <c:manualLayout>
          <c:xMode val="edge"/>
          <c:yMode val="edge"/>
          <c:x val="0.64207966201458666"/>
          <c:y val="0.49429751870982513"/>
          <c:w val="0.26779049946010502"/>
          <c:h val="0.18558633244403958"/>
        </c:manualLayout>
      </c:layout>
      <c:overlay val="1"/>
      <c:spPr>
        <a:solidFill>
          <a:schemeClr val="bg1"/>
        </a:solid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latin typeface="Nunito" panose="00000500000000000000" pitchFamily="2" charset="0"/>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Nunito" panose="00000500000000000000" pitchFamily="2" charset="0"/>
                <a:ea typeface="+mn-ea"/>
                <a:cs typeface="+mn-cs"/>
              </a:defRPr>
            </a:pPr>
            <a:r>
              <a:rPr lang="en-US"/>
              <a:t>Estimated power curve - wind at pattern height</a:t>
            </a:r>
          </a:p>
        </c:rich>
      </c:tx>
      <c:layout>
        <c:manualLayout>
          <c:xMode val="edge"/>
          <c:yMode val="edge"/>
          <c:x val="0.26417027334446191"/>
          <c:y val="1.6879170015708336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Nunito" panose="00000500000000000000" pitchFamily="2" charset="0"/>
              <a:ea typeface="+mn-ea"/>
              <a:cs typeface="+mn-cs"/>
            </a:defRPr>
          </a:pPr>
          <a:endParaRPr lang="en-US"/>
        </a:p>
      </c:txPr>
    </c:title>
    <c:autoTitleDeleted val="0"/>
    <c:plotArea>
      <c:layout>
        <c:manualLayout>
          <c:layoutTarget val="inner"/>
          <c:xMode val="edge"/>
          <c:yMode val="edge"/>
          <c:x val="0.13848596986823822"/>
          <c:y val="7.1497434820919609E-2"/>
          <c:w val="0.81278351703885732"/>
          <c:h val="0.80504951492776577"/>
        </c:manualLayout>
      </c:layout>
      <c:scatterChart>
        <c:scatterStyle val="lineMarker"/>
        <c:varyColors val="0"/>
        <c:ser>
          <c:idx val="5"/>
          <c:order val="0"/>
          <c:tx>
            <c:strRef>
              <c:f>'Simple models'!$G$3</c:f>
              <c:strCache>
                <c:ptCount val="1"/>
                <c:pt idx="0">
                  <c:v>Simple - ideal</c:v>
                </c:pt>
              </c:strCache>
            </c:strRef>
          </c:tx>
          <c:spPr>
            <a:ln w="19050" cap="rnd">
              <a:solidFill>
                <a:schemeClr val="accent6"/>
              </a:solidFill>
              <a:round/>
            </a:ln>
            <a:effectLst/>
          </c:spPr>
          <c:marker>
            <c:symbol val="none"/>
          </c:marker>
          <c:xVal>
            <c:numRef>
              <c:f>'Simple models'!$A$5:$A$29</c:f>
              <c:numCache>
                <c:formatCode>General</c:formatCod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numCache>
            </c:numRef>
          </c:xVal>
          <c:yVal>
            <c:numRef>
              <c:f>'Simple models'!$K$5:$K$29</c:f>
              <c:numCache>
                <c:formatCode>0.00E+00</c:formatCode>
                <c:ptCount val="25"/>
                <c:pt idx="0">
                  <c:v>60.514723655293977</c:v>
                </c:pt>
                <c:pt idx="1">
                  <c:v>484.11778924235182</c:v>
                </c:pt>
                <c:pt idx="2">
                  <c:v>1633.8975386929369</c:v>
                </c:pt>
                <c:pt idx="3">
                  <c:v>3872.9423139388146</c:v>
                </c:pt>
                <c:pt idx="4">
                  <c:v>7564.3404569117483</c:v>
                </c:pt>
                <c:pt idx="5">
                  <c:v>13071.180309543495</c:v>
                </c:pt>
                <c:pt idx="6">
                  <c:v>20756.550213765837</c:v>
                </c:pt>
                <c:pt idx="7">
                  <c:v>30983.538511510516</c:v>
                </c:pt>
                <c:pt idx="8">
                  <c:v>44115.233544709306</c:v>
                </c:pt>
                <c:pt idx="9">
                  <c:v>60514.723655293987</c:v>
                </c:pt>
                <c:pt idx="10">
                  <c:v>80545.097185196297</c:v>
                </c:pt>
                <c:pt idx="11">
                  <c:v>103636.28222116962</c:v>
                </c:pt>
                <c:pt idx="12">
                  <c:v>126953.44477525924</c:v>
                </c:pt>
                <c:pt idx="13">
                  <c:v>150000</c:v>
                </c:pt>
                <c:pt idx="14">
                  <c:v>150000</c:v>
                </c:pt>
                <c:pt idx="15">
                  <c:v>150000</c:v>
                </c:pt>
                <c:pt idx="16">
                  <c:v>150000</c:v>
                </c:pt>
                <c:pt idx="17">
                  <c:v>150000</c:v>
                </c:pt>
                <c:pt idx="18">
                  <c:v>150000</c:v>
                </c:pt>
                <c:pt idx="19">
                  <c:v>150000</c:v>
                </c:pt>
                <c:pt idx="20">
                  <c:v>150000</c:v>
                </c:pt>
                <c:pt idx="21">
                  <c:v>150000</c:v>
                </c:pt>
                <c:pt idx="22">
                  <c:v>150000</c:v>
                </c:pt>
                <c:pt idx="23">
                  <c:v>150000</c:v>
                </c:pt>
                <c:pt idx="24">
                  <c:v>150000</c:v>
                </c:pt>
              </c:numCache>
            </c:numRef>
          </c:yVal>
          <c:smooth val="0"/>
          <c:extLst>
            <c:ext xmlns:c16="http://schemas.microsoft.com/office/drawing/2014/chart" uri="{C3380CC4-5D6E-409C-BE32-E72D297353CC}">
              <c16:uniqueId val="{00000002-DBDF-45F9-AC8B-A7E66D8BD292}"/>
            </c:ext>
          </c:extLst>
        </c:ser>
        <c:ser>
          <c:idx val="3"/>
          <c:order val="1"/>
          <c:tx>
            <c:strRef>
              <c:f>'Simple models'!$A$3</c:f>
              <c:strCache>
                <c:ptCount val="1"/>
                <c:pt idx="0">
                  <c:v>Simple - inertia</c:v>
                </c:pt>
              </c:strCache>
            </c:strRef>
          </c:tx>
          <c:spPr>
            <a:ln w="19050" cap="rnd">
              <a:solidFill>
                <a:schemeClr val="bg1">
                  <a:lumMod val="75000"/>
                </a:schemeClr>
              </a:solidFill>
              <a:round/>
            </a:ln>
            <a:effectLst/>
          </c:spPr>
          <c:marker>
            <c:symbol val="none"/>
          </c:marker>
          <c:xVal>
            <c:numRef>
              <c:f>'Simple models'!$A$5:$A$29</c:f>
              <c:numCache>
                <c:formatCode>General</c:formatCod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numCache>
            </c:numRef>
          </c:xVal>
          <c:yVal>
            <c:numRef>
              <c:f>'Simple models'!$E$5:$E$29</c:f>
              <c:numCache>
                <c:formatCode>0.00E+00</c:formatCode>
                <c:ptCount val="25"/>
                <c:pt idx="0">
                  <c:v>53.553578544152479</c:v>
                </c:pt>
                <c:pt idx="1">
                  <c:v>428.42862835321984</c:v>
                </c:pt>
                <c:pt idx="2">
                  <c:v>1445.946620692117</c:v>
                </c:pt>
                <c:pt idx="3">
                  <c:v>3427.4290268257587</c:v>
                </c:pt>
                <c:pt idx="4">
                  <c:v>6694.1973180190598</c:v>
                </c:pt>
                <c:pt idx="5">
                  <c:v>11567.572965536936</c:v>
                </c:pt>
                <c:pt idx="6">
                  <c:v>18368.877440644294</c:v>
                </c:pt>
                <c:pt idx="7">
                  <c:v>27419.432214606069</c:v>
                </c:pt>
                <c:pt idx="8">
                  <c:v>39040.558758687162</c:v>
                </c:pt>
                <c:pt idx="9">
                  <c:v>53553.578544152479</c:v>
                </c:pt>
                <c:pt idx="10">
                  <c:v>71279.813042266949</c:v>
                </c:pt>
                <c:pt idx="11">
                  <c:v>92526.640865550391</c:v>
                </c:pt>
                <c:pt idx="12">
                  <c:v>115334.26747375328</c:v>
                </c:pt>
                <c:pt idx="13">
                  <c:v>138141.89408195618</c:v>
                </c:pt>
                <c:pt idx="14">
                  <c:v>150000</c:v>
                </c:pt>
                <c:pt idx="15">
                  <c:v>150000</c:v>
                </c:pt>
                <c:pt idx="16">
                  <c:v>150000</c:v>
                </c:pt>
                <c:pt idx="17">
                  <c:v>150000</c:v>
                </c:pt>
                <c:pt idx="18">
                  <c:v>150000</c:v>
                </c:pt>
                <c:pt idx="19">
                  <c:v>150000</c:v>
                </c:pt>
                <c:pt idx="20">
                  <c:v>150000</c:v>
                </c:pt>
                <c:pt idx="21">
                  <c:v>150000</c:v>
                </c:pt>
                <c:pt idx="22">
                  <c:v>150000</c:v>
                </c:pt>
                <c:pt idx="23">
                  <c:v>150000</c:v>
                </c:pt>
                <c:pt idx="24">
                  <c:v>150000</c:v>
                </c:pt>
              </c:numCache>
            </c:numRef>
          </c:yVal>
          <c:smooth val="0"/>
          <c:extLst>
            <c:ext xmlns:c16="http://schemas.microsoft.com/office/drawing/2014/chart" uri="{C3380CC4-5D6E-409C-BE32-E72D297353CC}">
              <c16:uniqueId val="{00000000-DBDF-45F9-AC8B-A7E66D8BD292}"/>
            </c:ext>
          </c:extLst>
        </c:ser>
        <c:ser>
          <c:idx val="4"/>
          <c:order val="2"/>
          <c:tx>
            <c:strRef>
              <c:f>'Simple models'!$M$3</c:f>
              <c:strCache>
                <c:ptCount val="1"/>
                <c:pt idx="0">
                  <c:v>Simple - elevation</c:v>
                </c:pt>
              </c:strCache>
            </c:strRef>
          </c:tx>
          <c:spPr>
            <a:ln w="19050" cap="rnd">
              <a:solidFill>
                <a:schemeClr val="bg1">
                  <a:lumMod val="50000"/>
                </a:schemeClr>
              </a:solidFill>
              <a:round/>
            </a:ln>
            <a:effectLst/>
          </c:spPr>
          <c:marker>
            <c:symbol val="none"/>
          </c:marker>
          <c:xVal>
            <c:numRef>
              <c:f>'Simple models'!$A$5:$A$29</c:f>
              <c:numCache>
                <c:formatCode>General</c:formatCod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numCache>
            </c:numRef>
          </c:xVal>
          <c:yVal>
            <c:numRef>
              <c:f>'Simple models'!$Q$5:$Q$29</c:f>
              <c:numCache>
                <c:formatCode>0.00E+00</c:formatCode>
                <c:ptCount val="25"/>
                <c:pt idx="0">
                  <c:v>48.234594941623065</c:v>
                </c:pt>
                <c:pt idx="1">
                  <c:v>385.87675953298452</c:v>
                </c:pt>
                <c:pt idx="2">
                  <c:v>1302.3340634238227</c:v>
                </c:pt>
                <c:pt idx="3">
                  <c:v>3087.0140762638762</c:v>
                </c:pt>
                <c:pt idx="4">
                  <c:v>6029.3243677028822</c:v>
                </c:pt>
                <c:pt idx="5">
                  <c:v>10418.672507390582</c:v>
                </c:pt>
                <c:pt idx="6">
                  <c:v>16544.466064976717</c:v>
                </c:pt>
                <c:pt idx="7">
                  <c:v>24696.112610111009</c:v>
                </c:pt>
                <c:pt idx="8">
                  <c:v>35163.019712443231</c:v>
                </c:pt>
                <c:pt idx="9">
                  <c:v>48234.594941623058</c:v>
                </c:pt>
                <c:pt idx="10">
                  <c:v>64200.245867300269</c:v>
                </c:pt>
                <c:pt idx="11">
                  <c:v>83349.380059124655</c:v>
                </c:pt>
                <c:pt idx="12">
                  <c:v>104881.18808008946</c:v>
                </c:pt>
                <c:pt idx="13">
                  <c:v>126500.48473455057</c:v>
                </c:pt>
                <c:pt idx="14">
                  <c:v>148119.78138901171</c:v>
                </c:pt>
                <c:pt idx="15">
                  <c:v>150000</c:v>
                </c:pt>
                <c:pt idx="16">
                  <c:v>150000</c:v>
                </c:pt>
                <c:pt idx="17">
                  <c:v>150000</c:v>
                </c:pt>
                <c:pt idx="18">
                  <c:v>150000</c:v>
                </c:pt>
                <c:pt idx="19">
                  <c:v>150000</c:v>
                </c:pt>
                <c:pt idx="20">
                  <c:v>150000</c:v>
                </c:pt>
                <c:pt idx="21">
                  <c:v>150000</c:v>
                </c:pt>
                <c:pt idx="22">
                  <c:v>150000</c:v>
                </c:pt>
                <c:pt idx="23">
                  <c:v>150000</c:v>
                </c:pt>
                <c:pt idx="24">
                  <c:v>150000</c:v>
                </c:pt>
              </c:numCache>
            </c:numRef>
          </c:yVal>
          <c:smooth val="0"/>
          <c:extLst>
            <c:ext xmlns:c16="http://schemas.microsoft.com/office/drawing/2014/chart" uri="{C3380CC4-5D6E-409C-BE32-E72D297353CC}">
              <c16:uniqueId val="{00000001-DBDF-45F9-AC8B-A7E66D8BD292}"/>
            </c:ext>
          </c:extLst>
        </c:ser>
        <c:ser>
          <c:idx val="6"/>
          <c:order val="3"/>
          <c:tx>
            <c:strRef>
              <c:f>'Simple models'!$S$3</c:f>
              <c:strCache>
                <c:ptCount val="1"/>
                <c:pt idx="0">
                  <c:v>Simple - inertia + elevation</c:v>
                </c:pt>
              </c:strCache>
            </c:strRef>
          </c:tx>
          <c:spPr>
            <a:ln w="19050" cap="rnd">
              <a:solidFill>
                <a:schemeClr val="bg1">
                  <a:lumMod val="50000"/>
                </a:schemeClr>
              </a:solidFill>
              <a:prstDash val="lgDash"/>
              <a:round/>
            </a:ln>
            <a:effectLst/>
          </c:spPr>
          <c:marker>
            <c:symbol val="none"/>
          </c:marker>
          <c:xVal>
            <c:numRef>
              <c:f>'Simple models'!$A$5:$A$29</c:f>
              <c:numCache>
                <c:formatCode>General</c:formatCod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numCache>
            </c:numRef>
          </c:xVal>
          <c:yVal>
            <c:numRef>
              <c:f>'Simple models'!$W$5:$W$29</c:f>
              <c:numCache>
                <c:formatCode>0.00E+00</c:formatCode>
                <c:ptCount val="25"/>
                <c:pt idx="0">
                  <c:v>43.158281928164314</c:v>
                </c:pt>
                <c:pt idx="1">
                  <c:v>345.26625542531451</c:v>
                </c:pt>
                <c:pt idx="2">
                  <c:v>1165.2736120604363</c:v>
                </c:pt>
                <c:pt idx="3">
                  <c:v>2762.1300434025161</c:v>
                </c:pt>
                <c:pt idx="4">
                  <c:v>5394.7852410205387</c:v>
                </c:pt>
                <c:pt idx="5">
                  <c:v>9322.1888964834907</c:v>
                </c:pt>
                <c:pt idx="6">
                  <c:v>14803.290701360351</c:v>
                </c:pt>
                <c:pt idx="7">
                  <c:v>22097.040347220129</c:v>
                </c:pt>
                <c:pt idx="8">
                  <c:v>31462.38752563177</c:v>
                </c:pt>
                <c:pt idx="9">
                  <c:v>43158.28192816431</c:v>
                </c:pt>
                <c:pt idx="10">
                  <c:v>57443.673246386687</c:v>
                </c:pt>
                <c:pt idx="11">
                  <c:v>74577.511171867925</c:v>
                </c:pt>
                <c:pt idx="12">
                  <c:v>94754.369165258846</c:v>
                </c:pt>
                <c:pt idx="13">
                  <c:v>115978.92667280829</c:v>
                </c:pt>
                <c:pt idx="14">
                  <c:v>137203.48418035774</c:v>
                </c:pt>
                <c:pt idx="15">
                  <c:v>150000</c:v>
                </c:pt>
                <c:pt idx="16">
                  <c:v>150000</c:v>
                </c:pt>
                <c:pt idx="17">
                  <c:v>150000</c:v>
                </c:pt>
                <c:pt idx="18">
                  <c:v>150000</c:v>
                </c:pt>
                <c:pt idx="19">
                  <c:v>150000</c:v>
                </c:pt>
                <c:pt idx="20">
                  <c:v>150000</c:v>
                </c:pt>
                <c:pt idx="21">
                  <c:v>150000</c:v>
                </c:pt>
                <c:pt idx="22">
                  <c:v>150000</c:v>
                </c:pt>
                <c:pt idx="23">
                  <c:v>150000</c:v>
                </c:pt>
                <c:pt idx="24">
                  <c:v>150000</c:v>
                </c:pt>
              </c:numCache>
            </c:numRef>
          </c:yVal>
          <c:smooth val="0"/>
          <c:extLst>
            <c:ext xmlns:c16="http://schemas.microsoft.com/office/drawing/2014/chart" uri="{C3380CC4-5D6E-409C-BE32-E72D297353CC}">
              <c16:uniqueId val="{00000003-DBDF-45F9-AC8B-A7E66D8BD292}"/>
            </c:ext>
          </c:extLst>
        </c:ser>
        <c:ser>
          <c:idx val="7"/>
          <c:order val="4"/>
          <c:tx>
            <c:strRef>
              <c:f>'Simple models'!$Y$3</c:f>
              <c:strCache>
                <c:ptCount val="1"/>
                <c:pt idx="0">
                  <c:v>Simple - gravity + inertia + elevation</c:v>
                </c:pt>
              </c:strCache>
            </c:strRef>
          </c:tx>
          <c:spPr>
            <a:ln w="19050" cap="rnd">
              <a:solidFill>
                <a:schemeClr val="bg2">
                  <a:lumMod val="10000"/>
                </a:schemeClr>
              </a:solidFill>
              <a:round/>
            </a:ln>
            <a:effectLst/>
          </c:spPr>
          <c:marker>
            <c:symbol val="none"/>
          </c:marker>
          <c:xVal>
            <c:numRef>
              <c:f>'Simple models'!$A$5:$A$29</c:f>
              <c:numCache>
                <c:formatCode>General</c:formatCod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numCache>
            </c:numRef>
          </c:xVal>
          <c:yVal>
            <c:numRef>
              <c:f>'Simple models'!$AC$5:$AC$29</c:f>
              <c:numCache>
                <c:formatCode>0.00E+00</c:formatCode>
                <c:ptCount val="25"/>
                <c:pt idx="0">
                  <c:v>33.454713763742845</c:v>
                </c:pt>
                <c:pt idx="1">
                  <c:v>267.63771010994276</c:v>
                </c:pt>
                <c:pt idx="2">
                  <c:v>903.27727162105668</c:v>
                </c:pt>
                <c:pt idx="3">
                  <c:v>2141.1016808795421</c:v>
                </c:pt>
                <c:pt idx="4">
                  <c:v>4181.8392204678557</c:v>
                </c:pt>
                <c:pt idx="5">
                  <c:v>7226.2181729684535</c:v>
                </c:pt>
                <c:pt idx="6">
                  <c:v>11474.966820963789</c:v>
                </c:pt>
                <c:pt idx="7">
                  <c:v>17128.813447036337</c:v>
                </c:pt>
                <c:pt idx="8">
                  <c:v>24388.486333768524</c:v>
                </c:pt>
                <c:pt idx="9">
                  <c:v>33454.713763742846</c:v>
                </c:pt>
                <c:pt idx="10">
                  <c:v>44528.224019541703</c:v>
                </c:pt>
                <c:pt idx="11">
                  <c:v>57809.745383747628</c:v>
                </c:pt>
                <c:pt idx="12">
                  <c:v>74388.107252902497</c:v>
                </c:pt>
                <c:pt idx="13">
                  <c:v>95612.664760451924</c:v>
                </c:pt>
                <c:pt idx="14">
                  <c:v>116837.22226800139</c:v>
                </c:pt>
                <c:pt idx="15">
                  <c:v>138061.77977555088</c:v>
                </c:pt>
                <c:pt idx="16">
                  <c:v>150000</c:v>
                </c:pt>
                <c:pt idx="17">
                  <c:v>150000</c:v>
                </c:pt>
                <c:pt idx="18">
                  <c:v>150000</c:v>
                </c:pt>
                <c:pt idx="19">
                  <c:v>150000</c:v>
                </c:pt>
                <c:pt idx="20">
                  <c:v>150000</c:v>
                </c:pt>
                <c:pt idx="21">
                  <c:v>150000</c:v>
                </c:pt>
                <c:pt idx="22">
                  <c:v>150000</c:v>
                </c:pt>
                <c:pt idx="23">
                  <c:v>150000</c:v>
                </c:pt>
                <c:pt idx="24">
                  <c:v>150000</c:v>
                </c:pt>
              </c:numCache>
            </c:numRef>
          </c:yVal>
          <c:smooth val="0"/>
          <c:extLst>
            <c:ext xmlns:c16="http://schemas.microsoft.com/office/drawing/2014/chart" uri="{C3380CC4-5D6E-409C-BE32-E72D297353CC}">
              <c16:uniqueId val="{00000004-DBDF-45F9-AC8B-A7E66D8BD292}"/>
            </c:ext>
          </c:extLst>
        </c:ser>
        <c:ser>
          <c:idx val="1"/>
          <c:order val="5"/>
          <c:tx>
            <c:strRef>
              <c:f>'Simple models'!$AE$3</c:f>
              <c:strCache>
                <c:ptCount val="1"/>
                <c:pt idx="0">
                  <c:v>Simple - gravity + inertia + elevation + variable efficiency</c:v>
                </c:pt>
              </c:strCache>
            </c:strRef>
          </c:tx>
          <c:spPr>
            <a:ln w="19050" cap="rnd">
              <a:solidFill>
                <a:schemeClr val="accent2"/>
              </a:solidFill>
              <a:round/>
            </a:ln>
            <a:effectLst/>
          </c:spPr>
          <c:marker>
            <c:symbol val="none"/>
          </c:marker>
          <c:xVal>
            <c:numRef>
              <c:f>'Simple models'!$A$5:$A$29</c:f>
              <c:numCache>
                <c:formatCode>General</c:formatCod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numCache>
            </c:numRef>
          </c:xVal>
          <c:yVal>
            <c:numRef>
              <c:f>'Simple models'!$AI$5:$AI$29</c:f>
              <c:numCache>
                <c:formatCode>0.00E+00</c:formatCode>
                <c:ptCount val="25"/>
                <c:pt idx="0">
                  <c:v>0</c:v>
                </c:pt>
                <c:pt idx="1">
                  <c:v>0</c:v>
                </c:pt>
                <c:pt idx="2">
                  <c:v>621.46654440045552</c:v>
                </c:pt>
                <c:pt idx="3">
                  <c:v>2119.8708670767555</c:v>
                </c:pt>
                <c:pt idx="4">
                  <c:v>4641.7769019866655</c:v>
                </c:pt>
                <c:pt idx="5">
                  <c:v>8430.189652471694</c:v>
                </c:pt>
                <c:pt idx="6">
                  <c:v>13704.523514238221</c:v>
                </c:pt>
                <c:pt idx="7">
                  <c:v>20653.768778114289</c:v>
                </c:pt>
                <c:pt idx="8">
                  <c:v>29469.823389918442</c:v>
                </c:pt>
                <c:pt idx="9">
                  <c:v>40344.096871677764</c:v>
                </c:pt>
                <c:pt idx="10">
                  <c:v>53443.212310680668</c:v>
                </c:pt>
                <c:pt idx="11">
                  <c:v>68908.802072661798</c:v>
                </c:pt>
                <c:pt idx="12">
                  <c:v>86835.051359579564</c:v>
                </c:pt>
                <c:pt idx="13">
                  <c:v>107425.02889457002</c:v>
                </c:pt>
                <c:pt idx="14">
                  <c:v>126392.82640704562</c:v>
                </c:pt>
                <c:pt idx="15">
                  <c:v>145525.76969822627</c:v>
                </c:pt>
                <c:pt idx="16">
                  <c:v>150000</c:v>
                </c:pt>
                <c:pt idx="17">
                  <c:v>150000</c:v>
                </c:pt>
                <c:pt idx="18">
                  <c:v>150000</c:v>
                </c:pt>
                <c:pt idx="19">
                  <c:v>150000</c:v>
                </c:pt>
                <c:pt idx="20">
                  <c:v>150000</c:v>
                </c:pt>
                <c:pt idx="21">
                  <c:v>150000</c:v>
                </c:pt>
                <c:pt idx="22">
                  <c:v>150000</c:v>
                </c:pt>
                <c:pt idx="23">
                  <c:v>150000</c:v>
                </c:pt>
                <c:pt idx="24">
                  <c:v>150000</c:v>
                </c:pt>
              </c:numCache>
            </c:numRef>
          </c:yVal>
          <c:smooth val="0"/>
          <c:extLst>
            <c:ext xmlns:c16="http://schemas.microsoft.com/office/drawing/2014/chart" uri="{C3380CC4-5D6E-409C-BE32-E72D297353CC}">
              <c16:uniqueId val="{00000005-DBDF-45F9-AC8B-A7E66D8BD292}"/>
            </c:ext>
          </c:extLst>
        </c:ser>
        <c:ser>
          <c:idx val="0"/>
          <c:order val="6"/>
          <c:tx>
            <c:v>Analytical Powercurve - all effects plus powercapping and variable efficiency</c:v>
          </c:tx>
          <c:spPr>
            <a:ln w="38100" cap="rnd">
              <a:solidFill>
                <a:sysClr val="windowText" lastClr="000000"/>
              </a:solidFill>
              <a:round/>
            </a:ln>
            <a:effectLst/>
          </c:spPr>
          <c:marker>
            <c:symbol val="none"/>
          </c:marker>
          <c:xVal>
            <c:numRef>
              <c:f>Performance!$A$83:$A$108</c:f>
              <c:numCache>
                <c:formatCode>General</c:formatCode>
                <c:ptCount val="26"/>
                <c:pt idx="0" formatCode="0">
                  <c:v>1E-4</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xVal>
          <c:yVal>
            <c:numRef>
              <c:f>Performance!$AJ$83:$AJ$108</c:f>
              <c:numCache>
                <c:formatCode>0.000E+00</c:formatCode>
                <c:ptCount val="26"/>
                <c:pt idx="0">
                  <c:v>0</c:v>
                </c:pt>
                <c:pt idx="1">
                  <c:v>0</c:v>
                </c:pt>
                <c:pt idx="2">
                  <c:v>0</c:v>
                </c:pt>
                <c:pt idx="3">
                  <c:v>788.06819941360129</c:v>
                </c:pt>
                <c:pt idx="4">
                  <c:v>2602.942013361444</c:v>
                </c:pt>
                <c:pt idx="5">
                  <c:v>5484.0649007200518</c:v>
                </c:pt>
                <c:pt idx="6">
                  <c:v>9787.2132326591363</c:v>
                </c:pt>
                <c:pt idx="7">
                  <c:v>15952.825316398403</c:v>
                </c:pt>
                <c:pt idx="8">
                  <c:v>24192.623078079549</c:v>
                </c:pt>
                <c:pt idx="9">
                  <c:v>34805.061917592669</c:v>
                </c:pt>
                <c:pt idx="10">
                  <c:v>48349.546721198167</c:v>
                </c:pt>
                <c:pt idx="11">
                  <c:v>65095.440204785147</c:v>
                </c:pt>
                <c:pt idx="12">
                  <c:v>84604.615140985305</c:v>
                </c:pt>
                <c:pt idx="13">
                  <c:v>106704.84908644634</c:v>
                </c:pt>
                <c:pt idx="14">
                  <c:v>126165.96458802251</c:v>
                </c:pt>
                <c:pt idx="15">
                  <c:v>141245.56065043906</c:v>
                </c:pt>
                <c:pt idx="16">
                  <c:v>149378.38133740137</c:v>
                </c:pt>
                <c:pt idx="17">
                  <c:v>149114.64793158477</c:v>
                </c:pt>
                <c:pt idx="18">
                  <c:v>148844.15484499393</c:v>
                </c:pt>
                <c:pt idx="19">
                  <c:v>148566.96730119389</c:v>
                </c:pt>
                <c:pt idx="20">
                  <c:v>148283.14406730371</c:v>
                </c:pt>
                <c:pt idx="21">
                  <c:v>147992.73820602777</c:v>
                </c:pt>
                <c:pt idx="22">
                  <c:v>147695.79772744249</c:v>
                </c:pt>
                <c:pt idx="23">
                  <c:v>147392.36615552387</c:v>
                </c:pt>
                <c:pt idx="24">
                  <c:v>147082.48302192718</c:v>
                </c:pt>
                <c:pt idx="25">
                  <c:v>146766.18429750297</c:v>
                </c:pt>
              </c:numCache>
            </c:numRef>
          </c:yVal>
          <c:smooth val="0"/>
          <c:extLst>
            <c:ext xmlns:c16="http://schemas.microsoft.com/office/drawing/2014/chart" uri="{C3380CC4-5D6E-409C-BE32-E72D297353CC}">
              <c16:uniqueId val="{00000000-F4AA-4443-9E85-690F2D177E51}"/>
            </c:ext>
          </c:extLst>
        </c:ser>
        <c:dLbls>
          <c:showLegendKey val="0"/>
          <c:showVal val="0"/>
          <c:showCatName val="0"/>
          <c:showSerName val="0"/>
          <c:showPercent val="0"/>
          <c:showBubbleSize val="0"/>
        </c:dLbls>
        <c:axId val="530347688"/>
        <c:axId val="530348472"/>
      </c:scatterChart>
      <c:valAx>
        <c:axId val="530347688"/>
        <c:scaling>
          <c:orientation val="minMax"/>
          <c:max val="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r>
                  <a:rPr lang="en-US"/>
                  <a:t>Wind at pattern height (m/s)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crossAx val="530348472"/>
        <c:crosses val="autoZero"/>
        <c:crossBetween val="midCat"/>
      </c:valAx>
      <c:valAx>
        <c:axId val="530348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r>
                  <a:rPr lang="en-US"/>
                  <a:t>Power to grid (MW)</a:t>
                </a:r>
              </a:p>
            </c:rich>
          </c:tx>
          <c:layout>
            <c:manualLayout>
              <c:xMode val="edge"/>
              <c:yMode val="edge"/>
              <c:x val="1.5898733042574588E-2"/>
              <c:y val="0.34410696706265564"/>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crossAx val="530347688"/>
        <c:crosses val="autoZero"/>
        <c:crossBetween val="midCat"/>
        <c:dispUnits>
          <c:builtInUnit val="millions"/>
        </c:dispUnits>
      </c:valAx>
      <c:spPr>
        <a:noFill/>
        <a:ln>
          <a:noFill/>
        </a:ln>
        <a:effectLst/>
      </c:spPr>
    </c:plotArea>
    <c:legend>
      <c:legendPos val="r"/>
      <c:layout>
        <c:manualLayout>
          <c:xMode val="edge"/>
          <c:yMode val="edge"/>
          <c:x val="0.64207966201458666"/>
          <c:y val="0.49429751870982513"/>
          <c:w val="0.28348843714152994"/>
          <c:h val="0.34948618045360719"/>
        </c:manualLayout>
      </c:layout>
      <c:overlay val="1"/>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latin typeface="Nunito" panose="00000500000000000000" pitchFamily="2"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Nunito" panose="00000500000000000000" pitchFamily="2" charset="0"/>
                <a:ea typeface="+mn-ea"/>
                <a:cs typeface="+mn-cs"/>
              </a:defRPr>
            </a:pPr>
            <a:r>
              <a:rPr lang="en-US"/>
              <a:t>Weibull</a:t>
            </a:r>
          </a:p>
        </c:rich>
      </c:tx>
      <c:layout>
        <c:manualLayout>
          <c:xMode val="edge"/>
          <c:yMode val="edge"/>
          <c:x val="0.42523688272474275"/>
          <c:y val="1.9110925630911345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Nunito" panose="00000500000000000000" pitchFamily="2" charset="0"/>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Performance!$A$83:$A$108</c:f>
              <c:numCache>
                <c:formatCode>General</c:formatCode>
                <c:ptCount val="26"/>
                <c:pt idx="0" formatCode="0">
                  <c:v>1E-4</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xVal>
          <c:yVal>
            <c:numRef>
              <c:f>Performance!$AM$83:$AM$108</c:f>
              <c:numCache>
                <c:formatCode>General</c:formatCode>
                <c:ptCount val="26"/>
                <c:pt idx="0">
                  <c:v>1.4068678709234014E-6</c:v>
                </c:pt>
                <c:pt idx="1">
                  <c:v>1.397006210786607E-2</c:v>
                </c:pt>
                <c:pt idx="2">
                  <c:v>2.7356681126938204E-2</c:v>
                </c:pt>
                <c:pt idx="3">
                  <c:v>3.9616836533432079E-2</c:v>
                </c:pt>
                <c:pt idx="4">
                  <c:v>5.0284450285304247E-2</c:v>
                </c:pt>
                <c:pt idx="5">
                  <c:v>5.8999583642454743E-2</c:v>
                </c:pt>
                <c:pt idx="6">
                  <c:v>6.5527782358787673E-2</c:v>
                </c:pt>
                <c:pt idx="7">
                  <c:v>6.9768211198319746E-2</c:v>
                </c:pt>
                <c:pt idx="8">
                  <c:v>7.175049699459278E-2</c:v>
                </c:pt>
                <c:pt idx="9">
                  <c:v>7.1621409740331723E-2</c:v>
                </c:pt>
                <c:pt idx="10">
                  <c:v>6.962349734526263E-2</c:v>
                </c:pt>
                <c:pt idx="11">
                  <c:v>6.6068439656780442E-2</c:v>
                </c:pt>
                <c:pt idx="12">
                  <c:v>6.130814719652828E-2</c:v>
                </c:pt>
                <c:pt idx="13">
                  <c:v>5.5706507138845042E-2</c:v>
                </c:pt>
                <c:pt idx="14">
                  <c:v>4.9614234300794015E-2</c:v>
                </c:pt>
                <c:pt idx="15">
                  <c:v>4.3348617217417951E-2</c:v>
                </c:pt>
                <c:pt idx="16">
                  <c:v>3.7179175485192825E-2</c:v>
                </c:pt>
                <c:pt idx="17">
                  <c:v>3.1319478768229887E-2</c:v>
                </c:pt>
                <c:pt idx="18">
                  <c:v>2.5924715115403743E-2</c:v>
                </c:pt>
                <c:pt idx="19">
                  <c:v>2.1094101051758164E-2</c:v>
                </c:pt>
                <c:pt idx="20">
                  <c:v>1.687692813234935E-2</c:v>
                </c:pt>
                <c:pt idx="21">
                  <c:v>1.3280937554451462E-2</c:v>
                </c:pt>
                <c:pt idx="22">
                  <c:v>1.0281777605499176E-2</c:v>
                </c:pt>
                <c:pt idx="23">
                  <c:v>7.8324836429980952E-3</c:v>
                </c:pt>
                <c:pt idx="24">
                  <c:v>5.8721763323969882E-3</c:v>
                </c:pt>
                <c:pt idx="25">
                  <c:v>4.333453011022277E-3</c:v>
                </c:pt>
              </c:numCache>
            </c:numRef>
          </c:yVal>
          <c:smooth val="1"/>
          <c:extLst>
            <c:ext xmlns:c16="http://schemas.microsoft.com/office/drawing/2014/chart" uri="{C3380CC4-5D6E-409C-BE32-E72D297353CC}">
              <c16:uniqueId val="{00000000-37F9-436A-B8E7-33C1DF94E237}"/>
            </c:ext>
          </c:extLst>
        </c:ser>
        <c:dLbls>
          <c:showLegendKey val="0"/>
          <c:showVal val="0"/>
          <c:showCatName val="0"/>
          <c:showSerName val="0"/>
          <c:showPercent val="0"/>
          <c:showBubbleSize val="0"/>
        </c:dLbls>
        <c:axId val="530350824"/>
        <c:axId val="530351216"/>
      </c:scatterChart>
      <c:valAx>
        <c:axId val="5303508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r>
                  <a:rPr lang="en-US"/>
                  <a:t>Wind speed,</a:t>
                </a:r>
                <a:r>
                  <a:rPr lang="en-US" baseline="0"/>
                  <a:t> m/s</a:t>
                </a:r>
              </a:p>
            </c:rich>
          </c:tx>
          <c:layout>
            <c:manualLayout>
              <c:xMode val="edge"/>
              <c:yMode val="edge"/>
              <c:x val="0.76829924755898715"/>
              <c:y val="0.9032003540939288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crossAx val="530351216"/>
        <c:crosses val="autoZero"/>
        <c:crossBetween val="midCat"/>
      </c:valAx>
      <c:valAx>
        <c:axId val="530351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a:defRPr sz="1400" b="0" i="0" u="none" strike="noStrike" kern="1200" baseline="0">
                    <a:solidFill>
                      <a:schemeClr val="tx1">
                        <a:lumMod val="65000"/>
                        <a:lumOff val="35000"/>
                      </a:schemeClr>
                    </a:solidFill>
                    <a:latin typeface="Nunito" panose="00000500000000000000" pitchFamily="2" charset="0"/>
                    <a:ea typeface="+mn-ea"/>
                    <a:cs typeface="+mn-cs"/>
                  </a:defRPr>
                </a:pPr>
                <a:r>
                  <a:rPr lang="en-US"/>
                  <a:t>Probability %</a:t>
                </a:r>
              </a:p>
            </c:rich>
          </c:tx>
          <c:overlay val="0"/>
          <c:spPr>
            <a:noFill/>
            <a:ln>
              <a:noFill/>
            </a:ln>
            <a:effectLst/>
          </c:spPr>
          <c:txPr>
            <a:bodyPr rot="-5400000" spcFirstLastPara="1" vertOverflow="ellipsis" vert="horz" wrap="square" anchor="ctr" anchorCtr="1"/>
            <a:lstStyle/>
            <a:p>
              <a:pPr algn="ct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Nunito" panose="00000500000000000000" pitchFamily="2" charset="0"/>
                <a:ea typeface="+mn-ea"/>
                <a:cs typeface="+mn-cs"/>
              </a:defRPr>
            </a:pPr>
            <a:endParaRPr lang="en-US"/>
          </a:p>
        </c:txPr>
        <c:crossAx val="5303508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a:latin typeface="Nunito" panose="00000500000000000000" pitchFamily="2"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Weighted</a:t>
            </a:r>
            <a:r>
              <a:rPr lang="en-GB" baseline="0"/>
              <a:t> generator efficiency vs wind speed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Performance!$F$158:$F$183</c:f>
              <c:numCache>
                <c:formatCode>General</c:formatCode>
                <c:ptCount val="26"/>
                <c:pt idx="0" formatCode="0">
                  <c:v>1E-4</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numCache>
            </c:numRef>
          </c:xVal>
          <c:yVal>
            <c:numRef>
              <c:f>Performance!$G$158:$G$183</c:f>
              <c:numCache>
                <c:formatCode>0.00</c:formatCode>
                <c:ptCount val="26"/>
                <c:pt idx="0">
                  <c:v>0</c:v>
                </c:pt>
                <c:pt idx="1">
                  <c:v>0</c:v>
                </c:pt>
                <c:pt idx="2">
                  <c:v>0</c:v>
                </c:pt>
                <c:pt idx="3">
                  <c:v>0</c:v>
                </c:pt>
                <c:pt idx="4">
                  <c:v>0</c:v>
                </c:pt>
                <c:pt idx="5">
                  <c:v>8.8543869323056301E-2</c:v>
                </c:pt>
                <c:pt idx="6">
                  <c:v>0.28452882974284033</c:v>
                </c:pt>
                <c:pt idx="7">
                  <c:v>0.50200711628971939</c:v>
                </c:pt>
                <c:pt idx="8">
                  <c:v>0.68600753372198175</c:v>
                </c:pt>
                <c:pt idx="9">
                  <c:v>0.7740481469918471</c:v>
                </c:pt>
                <c:pt idx="10">
                  <c:v>0.82595821398510094</c:v>
                </c:pt>
                <c:pt idx="11">
                  <c:v>0.85968429609993391</c:v>
                </c:pt>
                <c:pt idx="12">
                  <c:v>0.87906669577779362</c:v>
                </c:pt>
                <c:pt idx="13">
                  <c:v>0.88564299574097194</c:v>
                </c:pt>
                <c:pt idx="14">
                  <c:v>0.88895336459760865</c:v>
                </c:pt>
                <c:pt idx="15">
                  <c:v>0.89321095433959818</c:v>
                </c:pt>
                <c:pt idx="16">
                  <c:v>0.89582113343559999</c:v>
                </c:pt>
                <c:pt idx="17">
                  <c:v>0.89582113343559966</c:v>
                </c:pt>
                <c:pt idx="18">
                  <c:v>0.89582113343559966</c:v>
                </c:pt>
                <c:pt idx="19">
                  <c:v>0.89582113343559966</c:v>
                </c:pt>
                <c:pt idx="20">
                  <c:v>0.89582113343559966</c:v>
                </c:pt>
                <c:pt idx="21">
                  <c:v>0.89582113343559966</c:v>
                </c:pt>
                <c:pt idx="22">
                  <c:v>0.89582113343559966</c:v>
                </c:pt>
                <c:pt idx="23">
                  <c:v>0.89582113343559966</c:v>
                </c:pt>
                <c:pt idx="24">
                  <c:v>0.89582113343559966</c:v>
                </c:pt>
                <c:pt idx="25">
                  <c:v>0.89582113343559966</c:v>
                </c:pt>
              </c:numCache>
            </c:numRef>
          </c:yVal>
          <c:smooth val="0"/>
          <c:extLst>
            <c:ext xmlns:c16="http://schemas.microsoft.com/office/drawing/2014/chart" uri="{C3380CC4-5D6E-409C-BE32-E72D297353CC}">
              <c16:uniqueId val="{00000000-BD15-4E8E-B4A4-4BD2D02ECFB0}"/>
            </c:ext>
          </c:extLst>
        </c:ser>
        <c:dLbls>
          <c:showLegendKey val="0"/>
          <c:showVal val="0"/>
          <c:showCatName val="0"/>
          <c:showSerName val="0"/>
          <c:showPercent val="0"/>
          <c:showBubbleSize val="0"/>
        </c:dLbls>
        <c:axId val="693096992"/>
        <c:axId val="693100600"/>
      </c:scatterChart>
      <c:valAx>
        <c:axId val="6930969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Wind speed (m/s)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100600"/>
        <c:crosses val="autoZero"/>
        <c:crossBetween val="midCat"/>
      </c:valAx>
      <c:valAx>
        <c:axId val="693100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Weighted</a:t>
                </a:r>
                <a:r>
                  <a:rPr lang="en-GB" baseline="0"/>
                  <a:t> generator efficiency</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0969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9442038495188095E-2"/>
          <c:y val="0.15319444444444447"/>
          <c:w val="0.8617386264216973"/>
          <c:h val="0.72088764946048411"/>
        </c:manualLayout>
      </c:layout>
      <c:scatterChart>
        <c:scatterStyle val="smoothMarker"/>
        <c:varyColors val="0"/>
        <c:ser>
          <c:idx val="0"/>
          <c:order val="0"/>
          <c:tx>
            <c:strRef>
              <c:f>MeanWindAngle!$J$3</c:f>
              <c:strCache>
                <c:ptCount val="1"/>
                <c:pt idx="0">
                  <c:v>(deg)</c:v>
                </c:pt>
              </c:strCache>
            </c:strRef>
          </c:tx>
          <c:spPr>
            <a:ln w="19050" cap="rnd">
              <a:solidFill>
                <a:schemeClr val="accent1"/>
              </a:solidFill>
              <a:round/>
            </a:ln>
            <a:effectLst/>
          </c:spPr>
          <c:marker>
            <c:symbol val="none"/>
          </c:marker>
          <c:xVal>
            <c:numRef>
              <c:f>MeanWindAngle!$H$4:$H$24</c:f>
              <c:numCache>
                <c:formatCode>0.00</c:formatCode>
                <c:ptCount val="21"/>
                <c:pt idx="0">
                  <c:v>0</c:v>
                </c:pt>
                <c:pt idx="1">
                  <c:v>0.31415926535897931</c:v>
                </c:pt>
                <c:pt idx="2">
                  <c:v>0.62831853071795862</c:v>
                </c:pt>
                <c:pt idx="3">
                  <c:v>0.94247779607693793</c:v>
                </c:pt>
                <c:pt idx="4">
                  <c:v>1.2566370614359172</c:v>
                </c:pt>
                <c:pt idx="5">
                  <c:v>1.5707963267948966</c:v>
                </c:pt>
                <c:pt idx="6">
                  <c:v>1.8849555921538759</c:v>
                </c:pt>
                <c:pt idx="7">
                  <c:v>2.1991148575128552</c:v>
                </c:pt>
                <c:pt idx="8">
                  <c:v>2.5132741228718345</c:v>
                </c:pt>
                <c:pt idx="9">
                  <c:v>2.8274333882308138</c:v>
                </c:pt>
                <c:pt idx="10">
                  <c:v>3.1415926535897931</c:v>
                </c:pt>
                <c:pt idx="11">
                  <c:v>3.4557519189487729</c:v>
                </c:pt>
                <c:pt idx="12">
                  <c:v>3.7699111843077517</c:v>
                </c:pt>
                <c:pt idx="13">
                  <c:v>4.0840704496667311</c:v>
                </c:pt>
                <c:pt idx="14">
                  <c:v>4.3982297150257104</c:v>
                </c:pt>
                <c:pt idx="15">
                  <c:v>4.7123889803846897</c:v>
                </c:pt>
                <c:pt idx="16">
                  <c:v>5.026548245743669</c:v>
                </c:pt>
                <c:pt idx="17">
                  <c:v>5.3407075111026483</c:v>
                </c:pt>
                <c:pt idx="18">
                  <c:v>5.6548667764616276</c:v>
                </c:pt>
                <c:pt idx="19">
                  <c:v>5.9690260418206069</c:v>
                </c:pt>
                <c:pt idx="20">
                  <c:v>6.2831853071795862</c:v>
                </c:pt>
              </c:numCache>
            </c:numRef>
          </c:xVal>
          <c:yVal>
            <c:numRef>
              <c:f>MeanWindAngle!$J$4:$J$24</c:f>
              <c:numCache>
                <c:formatCode>0.0</c:formatCode>
                <c:ptCount val="21"/>
                <c:pt idx="0">
                  <c:v>9.9999999999999769</c:v>
                </c:pt>
                <c:pt idx="1">
                  <c:v>11.188008508563355</c:v>
                </c:pt>
                <c:pt idx="2">
                  <c:v>14.085644117814962</c:v>
                </c:pt>
                <c:pt idx="3">
                  <c:v>17.692292754212183</c:v>
                </c:pt>
                <c:pt idx="4">
                  <c:v>21.410257314730583</c:v>
                </c:pt>
                <c:pt idx="5">
                  <c:v>24.916508743071319</c:v>
                </c:pt>
                <c:pt idx="6">
                  <c:v>28.011316979186034</c:v>
                </c:pt>
                <c:pt idx="7">
                  <c:v>30.55484292222928</c:v>
                </c:pt>
                <c:pt idx="8">
                  <c:v>32.444415446780802</c:v>
                </c:pt>
                <c:pt idx="9">
                  <c:v>33.607422838628416</c:v>
                </c:pt>
                <c:pt idx="10">
                  <c:v>33.999999999999979</c:v>
                </c:pt>
                <c:pt idx="11">
                  <c:v>33.607422838628416</c:v>
                </c:pt>
                <c:pt idx="12">
                  <c:v>32.444415446780802</c:v>
                </c:pt>
                <c:pt idx="13">
                  <c:v>30.554842922229291</c:v>
                </c:pt>
                <c:pt idx="14">
                  <c:v>28.011316979186034</c:v>
                </c:pt>
                <c:pt idx="15">
                  <c:v>24.916508743071319</c:v>
                </c:pt>
                <c:pt idx="16">
                  <c:v>21.410257314730583</c:v>
                </c:pt>
                <c:pt idx="17">
                  <c:v>17.692292754212207</c:v>
                </c:pt>
                <c:pt idx="18">
                  <c:v>14.085644117814962</c:v>
                </c:pt>
                <c:pt idx="19">
                  <c:v>11.188008508563355</c:v>
                </c:pt>
                <c:pt idx="20">
                  <c:v>9.9999999999999769</c:v>
                </c:pt>
              </c:numCache>
            </c:numRef>
          </c:yVal>
          <c:smooth val="1"/>
          <c:extLst>
            <c:ext xmlns:c16="http://schemas.microsoft.com/office/drawing/2014/chart" uri="{C3380CC4-5D6E-409C-BE32-E72D297353CC}">
              <c16:uniqueId val="{00000000-49F6-457C-AE9F-7FE5E2F580EC}"/>
            </c:ext>
          </c:extLst>
        </c:ser>
        <c:dLbls>
          <c:showLegendKey val="0"/>
          <c:showVal val="0"/>
          <c:showCatName val="0"/>
          <c:showSerName val="0"/>
          <c:showPercent val="0"/>
          <c:showBubbleSize val="0"/>
        </c:dLbls>
        <c:axId val="532980440"/>
        <c:axId val="532985144"/>
      </c:scatterChart>
      <c:valAx>
        <c:axId val="5329804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985144"/>
        <c:crosses val="autoZero"/>
        <c:crossBetween val="midCat"/>
      </c:valAx>
      <c:valAx>
        <c:axId val="5329851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980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Generator output on DC bus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680421094904122"/>
          <c:y val="0.13702537182852143"/>
          <c:w val="0.83754915881416458"/>
          <c:h val="0.77736111111111106"/>
        </c:manualLayout>
      </c:layout>
      <c:scatterChart>
        <c:scatterStyle val="lineMarker"/>
        <c:varyColors val="0"/>
        <c:ser>
          <c:idx val="2"/>
          <c:order val="0"/>
          <c:tx>
            <c:v>18 m/s wind</c:v>
          </c:tx>
          <c:spPr>
            <a:ln w="19050" cap="rnd">
              <a:solidFill>
                <a:schemeClr val="accent3"/>
              </a:solidFill>
              <a:round/>
            </a:ln>
            <a:effectLst/>
          </c:spPr>
          <c:marker>
            <c:symbol val="none"/>
          </c:marker>
          <c:yVal>
            <c:numRef>
              <c:f>MeanWindAngle!$AO$58:$BH$58</c:f>
              <c:numCache>
                <c:formatCode>General</c:formatCode>
                <c:ptCount val="20"/>
                <c:pt idx="0">
                  <c:v>265120.94737304962</c:v>
                </c:pt>
                <c:pt idx="1">
                  <c:v>315838.68393648596</c:v>
                </c:pt>
                <c:pt idx="2">
                  <c:v>347144.03058559471</c:v>
                </c:pt>
                <c:pt idx="3">
                  <c:v>348839.31397401437</c:v>
                </c:pt>
                <c:pt idx="4">
                  <c:v>349354.8768111752</c:v>
                </c:pt>
                <c:pt idx="5">
                  <c:v>348839.31397401437</c:v>
                </c:pt>
                <c:pt idx="6">
                  <c:v>347144.03058559471</c:v>
                </c:pt>
                <c:pt idx="7">
                  <c:v>315838.68393648596</c:v>
                </c:pt>
                <c:pt idx="8">
                  <c:v>265120.94737304962</c:v>
                </c:pt>
                <c:pt idx="9">
                  <c:v>209445.64219956845</c:v>
                </c:pt>
                <c:pt idx="10">
                  <c:v>155056.89483302031</c:v>
                </c:pt>
                <c:pt idx="11">
                  <c:v>107826.98444155979</c:v>
                </c:pt>
                <c:pt idx="12">
                  <c:v>72098.289826719978</c:v>
                </c:pt>
                <c:pt idx="13">
                  <c:v>50189.122156400685</c:v>
                </c:pt>
                <c:pt idx="14">
                  <c:v>42852.86983872456</c:v>
                </c:pt>
                <c:pt idx="15">
                  <c:v>50189.122156400685</c:v>
                </c:pt>
                <c:pt idx="16">
                  <c:v>72098.28982671992</c:v>
                </c:pt>
                <c:pt idx="17">
                  <c:v>107826.98444155973</c:v>
                </c:pt>
                <c:pt idx="18">
                  <c:v>155056.89483302034</c:v>
                </c:pt>
                <c:pt idx="19">
                  <c:v>209445.64219956836</c:v>
                </c:pt>
              </c:numCache>
            </c:numRef>
          </c:yVal>
          <c:smooth val="0"/>
          <c:extLst>
            <c:ext xmlns:c16="http://schemas.microsoft.com/office/drawing/2014/chart" uri="{C3380CC4-5D6E-409C-BE32-E72D297353CC}">
              <c16:uniqueId val="{00000001-5FF7-4A30-83EA-1EC52DD0E826}"/>
            </c:ext>
          </c:extLst>
        </c:ser>
        <c:ser>
          <c:idx val="0"/>
          <c:order val="1"/>
          <c:tx>
            <c:v>13 m/s wind</c:v>
          </c:tx>
          <c:spPr>
            <a:ln w="19050" cap="rnd">
              <a:solidFill>
                <a:schemeClr val="accent1"/>
              </a:solidFill>
              <a:round/>
            </a:ln>
            <a:effectLst/>
          </c:spPr>
          <c:marker>
            <c:symbol val="none"/>
          </c:marker>
          <c:yVal>
            <c:numRef>
              <c:f>MeanWindAngle!$AO$53:$BH$53</c:f>
              <c:numCache>
                <c:formatCode>General</c:formatCode>
                <c:ptCount val="20"/>
                <c:pt idx="0">
                  <c:v>181783.8001600602</c:v>
                </c:pt>
                <c:pt idx="1">
                  <c:v>231462.84179540744</c:v>
                </c:pt>
                <c:pt idx="2">
                  <c:v>271478.84194236132</c:v>
                </c:pt>
                <c:pt idx="3">
                  <c:v>297313.07789523824</c:v>
                </c:pt>
                <c:pt idx="4">
                  <c:v>306227.10877496458</c:v>
                </c:pt>
                <c:pt idx="5">
                  <c:v>297313.07789523824</c:v>
                </c:pt>
                <c:pt idx="6">
                  <c:v>271478.84194236132</c:v>
                </c:pt>
                <c:pt idx="7">
                  <c:v>231462.84179540744</c:v>
                </c:pt>
                <c:pt idx="8">
                  <c:v>181783.80016006026</c:v>
                </c:pt>
                <c:pt idx="9">
                  <c:v>128370.72159434146</c:v>
                </c:pt>
                <c:pt idx="10">
                  <c:v>77632.690872279825</c:v>
                </c:pt>
                <c:pt idx="11">
                  <c:v>35076.589518092507</c:v>
                </c:pt>
                <c:pt idx="12">
                  <c:v>4104.1759681899684</c:v>
                </c:pt>
                <c:pt idx="13">
                  <c:v>-27242.346401253442</c:v>
                </c:pt>
                <c:pt idx="14">
                  <c:v>-38830.540139557896</c:v>
                </c:pt>
                <c:pt idx="15">
                  <c:v>-27242.346401253442</c:v>
                </c:pt>
                <c:pt idx="16">
                  <c:v>4104.1759681899248</c:v>
                </c:pt>
                <c:pt idx="17">
                  <c:v>35076.589518092456</c:v>
                </c:pt>
                <c:pt idx="18">
                  <c:v>77632.69087227984</c:v>
                </c:pt>
                <c:pt idx="19">
                  <c:v>128370.72159434142</c:v>
                </c:pt>
              </c:numCache>
            </c:numRef>
          </c:yVal>
          <c:smooth val="0"/>
          <c:extLst>
            <c:ext xmlns:c16="http://schemas.microsoft.com/office/drawing/2014/chart" uri="{C3380CC4-5D6E-409C-BE32-E72D297353CC}">
              <c16:uniqueId val="{00000000-D7EB-4A5F-91E3-62B7C961FF92}"/>
            </c:ext>
          </c:extLst>
        </c:ser>
        <c:ser>
          <c:idx val="1"/>
          <c:order val="2"/>
          <c:tx>
            <c:v>8 m/s wind</c:v>
          </c:tx>
          <c:spPr>
            <a:ln w="19050" cap="rnd">
              <a:solidFill>
                <a:schemeClr val="accent2"/>
              </a:solidFill>
              <a:round/>
            </a:ln>
            <a:effectLst/>
          </c:spPr>
          <c:marker>
            <c:symbol val="none"/>
          </c:marker>
          <c:yVal>
            <c:numRef>
              <c:f>MeanWindAngle!$AO$48:$BH$48</c:f>
              <c:numCache>
                <c:formatCode>General</c:formatCode>
                <c:ptCount val="20"/>
                <c:pt idx="0">
                  <c:v>63232.5240829779</c:v>
                </c:pt>
                <c:pt idx="1">
                  <c:v>93848.347162648744</c:v>
                </c:pt>
                <c:pt idx="2">
                  <c:v>118724.74361999505</c:v>
                </c:pt>
                <c:pt idx="3">
                  <c:v>134778.57674965664</c:v>
                </c:pt>
                <c:pt idx="4">
                  <c:v>140307.47052599862</c:v>
                </c:pt>
                <c:pt idx="5">
                  <c:v>134778.57674965664</c:v>
                </c:pt>
                <c:pt idx="6">
                  <c:v>118724.74361999505</c:v>
                </c:pt>
                <c:pt idx="7">
                  <c:v>93848.347162648744</c:v>
                </c:pt>
                <c:pt idx="8">
                  <c:v>63232.5240829779</c:v>
                </c:pt>
                <c:pt idx="9">
                  <c:v>31296.490240089774</c:v>
                </c:pt>
                <c:pt idx="10">
                  <c:v>2985.0559830507782</c:v>
                </c:pt>
                <c:pt idx="11">
                  <c:v>-35047.61434482372</c:v>
                </c:pt>
                <c:pt idx="12">
                  <c:v>-63459.678496300774</c:v>
                </c:pt>
                <c:pt idx="13">
                  <c:v>-80598.597705657638</c:v>
                </c:pt>
                <c:pt idx="14">
                  <c:v>-86364.059116523887</c:v>
                </c:pt>
                <c:pt idx="15">
                  <c:v>-80598.597705657638</c:v>
                </c:pt>
                <c:pt idx="16">
                  <c:v>-63459.678496300818</c:v>
                </c:pt>
                <c:pt idx="17">
                  <c:v>-35047.614344823764</c:v>
                </c:pt>
                <c:pt idx="18">
                  <c:v>2985.0559830507877</c:v>
                </c:pt>
                <c:pt idx="19">
                  <c:v>31296.490240089737</c:v>
                </c:pt>
              </c:numCache>
            </c:numRef>
          </c:yVal>
          <c:smooth val="0"/>
          <c:extLst>
            <c:ext xmlns:c16="http://schemas.microsoft.com/office/drawing/2014/chart" uri="{C3380CC4-5D6E-409C-BE32-E72D297353CC}">
              <c16:uniqueId val="{00000000-5FF7-4A30-83EA-1EC52DD0E826}"/>
            </c:ext>
          </c:extLst>
        </c:ser>
        <c:dLbls>
          <c:showLegendKey val="0"/>
          <c:showVal val="0"/>
          <c:showCatName val="0"/>
          <c:showSerName val="0"/>
          <c:showPercent val="0"/>
          <c:showBubbleSize val="0"/>
        </c:dLbls>
        <c:axId val="532981616"/>
        <c:axId val="532983576"/>
      </c:scatterChart>
      <c:valAx>
        <c:axId val="532981616"/>
        <c:scaling>
          <c:orientation val="minMax"/>
        </c:scaling>
        <c:delete val="1"/>
        <c:axPos val="b"/>
        <c:majorGridlines>
          <c:spPr>
            <a:ln w="9525" cap="flat" cmpd="sng" algn="ctr">
              <a:solidFill>
                <a:schemeClr val="tx1">
                  <a:lumMod val="15000"/>
                  <a:lumOff val="85000"/>
                </a:schemeClr>
              </a:solidFill>
              <a:round/>
            </a:ln>
            <a:effectLst/>
          </c:spPr>
        </c:majorGridlines>
        <c:majorTickMark val="none"/>
        <c:minorTickMark val="none"/>
        <c:tickLblPos val="nextTo"/>
        <c:crossAx val="532983576"/>
        <c:crosses val="autoZero"/>
        <c:crossBetween val="midCat"/>
      </c:valAx>
      <c:valAx>
        <c:axId val="532983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9816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Efficiency curves</a:t>
            </a:r>
            <a:r>
              <a:rPr lang="en-GB" baseline="0"/>
              <a:t> vs RPM/RPM_max</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MeanWindAngle!$AL$3</c:f>
              <c:strCache>
                <c:ptCount val="1"/>
                <c:pt idx="0">
                  <c:v>E</c:v>
                </c:pt>
              </c:strCache>
            </c:strRef>
          </c:tx>
          <c:spPr>
            <a:ln w="19050" cap="rnd">
              <a:solidFill>
                <a:schemeClr val="accent1"/>
              </a:solidFill>
              <a:round/>
            </a:ln>
            <a:effectLst/>
          </c:spPr>
          <c:marker>
            <c:symbol val="none"/>
          </c:marker>
          <c:xVal>
            <c:numRef>
              <c:f>MeanWindAngle!$AK$4:$AK$14</c:f>
              <c:numCache>
                <c:formatCode>General</c:formatCode>
                <c:ptCount val="11"/>
                <c:pt idx="0">
                  <c:v>0</c:v>
                </c:pt>
                <c:pt idx="1">
                  <c:v>0.1</c:v>
                </c:pt>
                <c:pt idx="2">
                  <c:v>0.2</c:v>
                </c:pt>
                <c:pt idx="3">
                  <c:v>0.3</c:v>
                </c:pt>
                <c:pt idx="4">
                  <c:v>0.4</c:v>
                </c:pt>
                <c:pt idx="5">
                  <c:v>0.5</c:v>
                </c:pt>
                <c:pt idx="6">
                  <c:v>0.6</c:v>
                </c:pt>
                <c:pt idx="7">
                  <c:v>0.7</c:v>
                </c:pt>
                <c:pt idx="8">
                  <c:v>0.8</c:v>
                </c:pt>
                <c:pt idx="9">
                  <c:v>0.9</c:v>
                </c:pt>
                <c:pt idx="10">
                  <c:v>1</c:v>
                </c:pt>
              </c:numCache>
            </c:numRef>
          </c:xVal>
          <c:yVal>
            <c:numRef>
              <c:f>MeanWindAngle!$AL$4:$AL$14</c:f>
              <c:numCache>
                <c:formatCode>General</c:formatCode>
                <c:ptCount val="11"/>
                <c:pt idx="0">
                  <c:v>0.72330000000000005</c:v>
                </c:pt>
                <c:pt idx="1">
                  <c:v>0.80730000000000002</c:v>
                </c:pt>
                <c:pt idx="2">
                  <c:v>0.86704400000000004</c:v>
                </c:pt>
                <c:pt idx="3">
                  <c:v>0.90655800000000009</c:v>
                </c:pt>
                <c:pt idx="4">
                  <c:v>0.92986800000000003</c:v>
                </c:pt>
                <c:pt idx="5">
                  <c:v>0.94100000000000006</c:v>
                </c:pt>
                <c:pt idx="6">
                  <c:v>0.94398000000000004</c:v>
                </c:pt>
                <c:pt idx="7">
                  <c:v>0.94283400000000006</c:v>
                </c:pt>
                <c:pt idx="8">
                  <c:v>0.94158799999999998</c:v>
                </c:pt>
                <c:pt idx="9">
                  <c:v>0.94426800000000022</c:v>
                </c:pt>
                <c:pt idx="10">
                  <c:v>0.95490000000000019</c:v>
                </c:pt>
              </c:numCache>
            </c:numRef>
          </c:yVal>
          <c:smooth val="0"/>
          <c:extLst>
            <c:ext xmlns:c16="http://schemas.microsoft.com/office/drawing/2014/chart" uri="{C3380CC4-5D6E-409C-BE32-E72D297353CC}">
              <c16:uniqueId val="{00000000-CA83-4517-8568-604B178D2F9F}"/>
            </c:ext>
          </c:extLst>
        </c:ser>
        <c:ser>
          <c:idx val="1"/>
          <c:order val="1"/>
          <c:tx>
            <c:strRef>
              <c:f>MeanWindAngle!$AM$3</c:f>
              <c:strCache>
                <c:ptCount val="1"/>
                <c:pt idx="0">
                  <c:v>M</c:v>
                </c:pt>
              </c:strCache>
            </c:strRef>
          </c:tx>
          <c:spPr>
            <a:ln w="19050" cap="rnd">
              <a:solidFill>
                <a:schemeClr val="accent2"/>
              </a:solidFill>
              <a:round/>
            </a:ln>
            <a:effectLst/>
          </c:spPr>
          <c:marker>
            <c:symbol val="none"/>
          </c:marker>
          <c:xVal>
            <c:numRef>
              <c:f>MeanWindAngle!$AK$4:$AK$14</c:f>
              <c:numCache>
                <c:formatCode>General</c:formatCode>
                <c:ptCount val="11"/>
                <c:pt idx="0">
                  <c:v>0</c:v>
                </c:pt>
                <c:pt idx="1">
                  <c:v>0.1</c:v>
                </c:pt>
                <c:pt idx="2">
                  <c:v>0.2</c:v>
                </c:pt>
                <c:pt idx="3">
                  <c:v>0.3</c:v>
                </c:pt>
                <c:pt idx="4">
                  <c:v>0.4</c:v>
                </c:pt>
                <c:pt idx="5">
                  <c:v>0.5</c:v>
                </c:pt>
                <c:pt idx="6">
                  <c:v>0.6</c:v>
                </c:pt>
                <c:pt idx="7">
                  <c:v>0.7</c:v>
                </c:pt>
                <c:pt idx="8">
                  <c:v>0.8</c:v>
                </c:pt>
                <c:pt idx="9">
                  <c:v>0.9</c:v>
                </c:pt>
                <c:pt idx="10">
                  <c:v>1</c:v>
                </c:pt>
              </c:numCache>
            </c:numRef>
          </c:xVal>
          <c:yVal>
            <c:numRef>
              <c:f>MeanWindAngle!$AM$4:$AM$14</c:f>
              <c:numCache>
                <c:formatCode>General</c:formatCode>
                <c:ptCount val="11"/>
                <c:pt idx="0">
                  <c:v>0.57350000000000001</c:v>
                </c:pt>
                <c:pt idx="1">
                  <c:v>0.68991250000000004</c:v>
                </c:pt>
                <c:pt idx="2">
                  <c:v>0.77774399999999999</c:v>
                </c:pt>
                <c:pt idx="3">
                  <c:v>0.84100549999999996</c:v>
                </c:pt>
                <c:pt idx="4">
                  <c:v>0.88370800000000005</c:v>
                </c:pt>
                <c:pt idx="5">
                  <c:v>0.90986250000000002</c:v>
                </c:pt>
                <c:pt idx="6">
                  <c:v>0.92347999999999997</c:v>
                </c:pt>
                <c:pt idx="7">
                  <c:v>0.92857149999999999</c:v>
                </c:pt>
                <c:pt idx="8">
                  <c:v>0.9291480000000002</c:v>
                </c:pt>
                <c:pt idx="9">
                  <c:v>0.92922050000000012</c:v>
                </c:pt>
                <c:pt idx="10">
                  <c:v>0.93280000000000007</c:v>
                </c:pt>
              </c:numCache>
            </c:numRef>
          </c:yVal>
          <c:smooth val="0"/>
          <c:extLst>
            <c:ext xmlns:c16="http://schemas.microsoft.com/office/drawing/2014/chart" uri="{C3380CC4-5D6E-409C-BE32-E72D297353CC}">
              <c16:uniqueId val="{00000001-CA83-4517-8568-604B178D2F9F}"/>
            </c:ext>
          </c:extLst>
        </c:ser>
        <c:ser>
          <c:idx val="2"/>
          <c:order val="2"/>
          <c:tx>
            <c:strRef>
              <c:f>MeanWindAngle!$AN$3</c:f>
              <c:strCache>
                <c:ptCount val="1"/>
                <c:pt idx="0">
                  <c:v>H</c:v>
                </c:pt>
              </c:strCache>
            </c:strRef>
          </c:tx>
          <c:spPr>
            <a:ln w="19050" cap="rnd">
              <a:solidFill>
                <a:schemeClr val="accent3"/>
              </a:solidFill>
              <a:round/>
            </a:ln>
            <a:effectLst/>
          </c:spPr>
          <c:marker>
            <c:symbol val="none"/>
          </c:marker>
          <c:xVal>
            <c:numRef>
              <c:f>MeanWindAngle!$AK$4:$AK$14</c:f>
              <c:numCache>
                <c:formatCode>General</c:formatCode>
                <c:ptCount val="11"/>
                <c:pt idx="0">
                  <c:v>0</c:v>
                </c:pt>
                <c:pt idx="1">
                  <c:v>0.1</c:v>
                </c:pt>
                <c:pt idx="2">
                  <c:v>0.2</c:v>
                </c:pt>
                <c:pt idx="3">
                  <c:v>0.3</c:v>
                </c:pt>
                <c:pt idx="4">
                  <c:v>0.4</c:v>
                </c:pt>
                <c:pt idx="5">
                  <c:v>0.5</c:v>
                </c:pt>
                <c:pt idx="6">
                  <c:v>0.6</c:v>
                </c:pt>
                <c:pt idx="7">
                  <c:v>0.7</c:v>
                </c:pt>
                <c:pt idx="8">
                  <c:v>0.8</c:v>
                </c:pt>
                <c:pt idx="9">
                  <c:v>0.9</c:v>
                </c:pt>
                <c:pt idx="10">
                  <c:v>1</c:v>
                </c:pt>
              </c:numCache>
            </c:numRef>
          </c:xVal>
          <c:yVal>
            <c:numRef>
              <c:f>MeanWindAngle!$AN$4:$AN$14</c:f>
              <c:numCache>
                <c:formatCode>General</c:formatCode>
                <c:ptCount val="11"/>
                <c:pt idx="0">
                  <c:v>0.7</c:v>
                </c:pt>
                <c:pt idx="1">
                  <c:v>0.77884799999999998</c:v>
                </c:pt>
                <c:pt idx="2">
                  <c:v>0.83860000000000001</c:v>
                </c:pt>
                <c:pt idx="3">
                  <c:v>0.88202799999999992</c:v>
                </c:pt>
                <c:pt idx="4">
                  <c:v>0.91190400000000005</c:v>
                </c:pt>
                <c:pt idx="5">
                  <c:v>0.93099999999999994</c:v>
                </c:pt>
                <c:pt idx="6">
                  <c:v>0.94208799999999993</c:v>
                </c:pt>
                <c:pt idx="7">
                  <c:v>0.94794</c:v>
                </c:pt>
                <c:pt idx="8">
                  <c:v>0.95132799999999995</c:v>
                </c:pt>
                <c:pt idx="9">
                  <c:v>0.95502399999999998</c:v>
                </c:pt>
                <c:pt idx="10">
                  <c:v>0.96179999999999999</c:v>
                </c:pt>
              </c:numCache>
            </c:numRef>
          </c:yVal>
          <c:smooth val="0"/>
          <c:extLst>
            <c:ext xmlns:c16="http://schemas.microsoft.com/office/drawing/2014/chart" uri="{C3380CC4-5D6E-409C-BE32-E72D297353CC}">
              <c16:uniqueId val="{00000002-CA83-4517-8568-604B178D2F9F}"/>
            </c:ext>
          </c:extLst>
        </c:ser>
        <c:dLbls>
          <c:showLegendKey val="0"/>
          <c:showVal val="0"/>
          <c:showCatName val="0"/>
          <c:showSerName val="0"/>
          <c:showPercent val="0"/>
          <c:showBubbleSize val="0"/>
        </c:dLbls>
        <c:axId val="853208656"/>
        <c:axId val="853207344"/>
      </c:scatterChart>
      <c:valAx>
        <c:axId val="853208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207344"/>
        <c:crosses val="autoZero"/>
        <c:crossBetween val="midCat"/>
      </c:valAx>
      <c:valAx>
        <c:axId val="85320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2086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GB"/>
              <a:t>Wing area vs Mass (for high and low tension case)</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122387907191306"/>
          <c:y val="0.12529127736583945"/>
          <c:w val="0.77987974616393951"/>
          <c:h val="0.68307201395743899"/>
        </c:manualLayout>
      </c:layout>
      <c:scatterChart>
        <c:scatterStyle val="lineMarker"/>
        <c:varyColors val="0"/>
        <c:ser>
          <c:idx val="1"/>
          <c:order val="0"/>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0"/>
          </c:trendline>
          <c:xVal>
            <c:numRef>
              <c:f>'Mass dependency'!$V$13:$V$19</c:f>
              <c:numCache>
                <c:formatCode>0.00E+00</c:formatCode>
                <c:ptCount val="7"/>
                <c:pt idx="0">
                  <c:v>50.009930486593802</c:v>
                </c:pt>
                <c:pt idx="1">
                  <c:v>70.029791459781507</c:v>
                </c:pt>
                <c:pt idx="2">
                  <c:v>89.910625620655395</c:v>
                </c:pt>
                <c:pt idx="3">
                  <c:v>110.20854021847001</c:v>
                </c:pt>
                <c:pt idx="4">
                  <c:v>130.089374379345</c:v>
                </c:pt>
                <c:pt idx="5">
                  <c:v>149.97020854021801</c:v>
                </c:pt>
                <c:pt idx="6">
                  <c:v>170.12909632572001</c:v>
                </c:pt>
              </c:numCache>
            </c:numRef>
          </c:xVal>
          <c:yVal>
            <c:numRef>
              <c:f>'Mass dependency'!$W$13:$W$19</c:f>
              <c:numCache>
                <c:formatCode>0.00E+00</c:formatCode>
                <c:ptCount val="7"/>
                <c:pt idx="0">
                  <c:v>215.88330632090799</c:v>
                </c:pt>
                <c:pt idx="1">
                  <c:v>340.35656401944902</c:v>
                </c:pt>
                <c:pt idx="2">
                  <c:v>480.38897893030799</c:v>
                </c:pt>
                <c:pt idx="3">
                  <c:v>639.87034035656404</c:v>
                </c:pt>
                <c:pt idx="4">
                  <c:v>812.96596434359799</c:v>
                </c:pt>
                <c:pt idx="5">
                  <c:v>1001.62074554295</c:v>
                </c:pt>
                <c:pt idx="6">
                  <c:v>1201.9448946515399</c:v>
                </c:pt>
              </c:numCache>
            </c:numRef>
          </c:yVal>
          <c:smooth val="0"/>
          <c:extLst>
            <c:ext xmlns:c16="http://schemas.microsoft.com/office/drawing/2014/chart" uri="{C3380CC4-5D6E-409C-BE32-E72D297353CC}">
              <c16:uniqueId val="{00000001-1AB9-4443-8240-78A43132B731}"/>
            </c:ext>
          </c:extLst>
        </c:ser>
        <c:ser>
          <c:idx val="0"/>
          <c:order val="1"/>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xVal>
            <c:numRef>
              <c:f>'Mass dependency'!$R$13:$R$19</c:f>
              <c:numCache>
                <c:formatCode>0.00E+00</c:formatCode>
                <c:ptCount val="7"/>
                <c:pt idx="0">
                  <c:v>49.880715705765397</c:v>
                </c:pt>
                <c:pt idx="1">
                  <c:v>70.059642147117302</c:v>
                </c:pt>
                <c:pt idx="2">
                  <c:v>90.099403578528793</c:v>
                </c:pt>
                <c:pt idx="3">
                  <c:v>109.860834990059</c:v>
                </c:pt>
                <c:pt idx="4">
                  <c:v>129.90059642147099</c:v>
                </c:pt>
                <c:pt idx="5">
                  <c:v>149.94035785288301</c:v>
                </c:pt>
                <c:pt idx="6">
                  <c:v>170.119284294235</c:v>
                </c:pt>
              </c:numCache>
            </c:numRef>
          </c:xVal>
          <c:yVal>
            <c:numRef>
              <c:f>'Mass dependency'!$S$13:$S$19</c:f>
              <c:numCache>
                <c:formatCode>0.00E+00</c:formatCode>
                <c:ptCount val="7"/>
                <c:pt idx="0">
                  <c:v>196.753246753247</c:v>
                </c:pt>
                <c:pt idx="1">
                  <c:v>303.89610389610402</c:v>
                </c:pt>
                <c:pt idx="2">
                  <c:v>436.36363636363598</c:v>
                </c:pt>
                <c:pt idx="3">
                  <c:v>578.57142857142901</c:v>
                </c:pt>
                <c:pt idx="4">
                  <c:v>732.46753246753201</c:v>
                </c:pt>
                <c:pt idx="5">
                  <c:v>901.94805194805201</c:v>
                </c:pt>
                <c:pt idx="6">
                  <c:v>1079.2207792207801</c:v>
                </c:pt>
              </c:numCache>
            </c:numRef>
          </c:yVal>
          <c:smooth val="0"/>
          <c:extLst>
            <c:ext xmlns:c16="http://schemas.microsoft.com/office/drawing/2014/chart" uri="{C3380CC4-5D6E-409C-BE32-E72D297353CC}">
              <c16:uniqueId val="{00000000-1AB9-4443-8240-78A43132B731}"/>
            </c:ext>
          </c:extLst>
        </c:ser>
        <c:dLbls>
          <c:showLegendKey val="0"/>
          <c:showVal val="0"/>
          <c:showCatName val="0"/>
          <c:showSerName val="0"/>
          <c:showPercent val="0"/>
          <c:showBubbleSize val="0"/>
        </c:dLbls>
        <c:axId val="532985536"/>
        <c:axId val="532984752"/>
      </c:scatterChart>
      <c:valAx>
        <c:axId val="532985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a:t>Wing area (m2)</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32984752"/>
        <c:crosses val="autoZero"/>
        <c:crossBetween val="midCat"/>
      </c:valAx>
      <c:valAx>
        <c:axId val="532984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GB"/>
                  <a:t>RPA</a:t>
                </a:r>
                <a:r>
                  <a:rPr lang="en-GB" baseline="0"/>
                  <a:t> mass (kg)</a:t>
                </a:r>
                <a:endParaRPr lang="en-GB"/>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329855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 and b as function</a:t>
            </a:r>
            <a:r>
              <a:rPr lang="en-US" baseline="0"/>
              <a:t> of kN/m2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5095691163604549"/>
                  <c:y val="-0.1293591426071741"/>
                </c:manualLayout>
              </c:layout>
              <c:numFmt formatCode="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'Mass dependency'!$R$23:$R$26</c:f>
              <c:numCache>
                <c:formatCode>General</c:formatCode>
                <c:ptCount val="4"/>
                <c:pt idx="0">
                  <c:v>3.07</c:v>
                </c:pt>
                <c:pt idx="1">
                  <c:v>4.2699999999999996</c:v>
                </c:pt>
              </c:numCache>
            </c:numRef>
          </c:xVal>
          <c:yVal>
            <c:numRef>
              <c:f>'Mass dependency'!$S$23:$S$26</c:f>
              <c:numCache>
                <c:formatCode>General</c:formatCode>
                <c:ptCount val="4"/>
                <c:pt idx="0">
                  <c:v>1.6438000000000001E-2</c:v>
                </c:pt>
                <c:pt idx="1">
                  <c:v>1.9335999999999999E-2</c:v>
                </c:pt>
              </c:numCache>
            </c:numRef>
          </c:yVal>
          <c:smooth val="0"/>
          <c:extLst>
            <c:ext xmlns:c16="http://schemas.microsoft.com/office/drawing/2014/chart" uri="{C3380CC4-5D6E-409C-BE32-E72D297353CC}">
              <c16:uniqueId val="{00000000-B5E9-4F57-A0EE-3B5C2B462D2A}"/>
            </c:ext>
          </c:extLst>
        </c:ser>
        <c:ser>
          <c:idx val="1"/>
          <c:order val="1"/>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1"/>
            <c:trendlineLbl>
              <c:layout>
                <c:manualLayout>
                  <c:x val="-0.24338735783027121"/>
                  <c:y val="-2.5725430154564011E-2"/>
                </c:manualLayout>
              </c:layout>
              <c:numFmt formatCode="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'Mass dependency'!$R$23:$R$26</c:f>
              <c:numCache>
                <c:formatCode>General</c:formatCode>
                <c:ptCount val="4"/>
                <c:pt idx="0">
                  <c:v>3.07</c:v>
                </c:pt>
                <c:pt idx="1">
                  <c:v>4.2699999999999996</c:v>
                </c:pt>
              </c:numCache>
            </c:numRef>
          </c:xVal>
          <c:yVal>
            <c:numRef>
              <c:f>'Mass dependency'!$T$23:$T$26</c:f>
              <c:numCache>
                <c:formatCode>General</c:formatCode>
                <c:ptCount val="4"/>
                <c:pt idx="0">
                  <c:v>3.7719999999999998</c:v>
                </c:pt>
                <c:pt idx="1">
                  <c:v>3.9763000000000002</c:v>
                </c:pt>
              </c:numCache>
            </c:numRef>
          </c:yVal>
          <c:smooth val="0"/>
          <c:extLst>
            <c:ext xmlns:c16="http://schemas.microsoft.com/office/drawing/2014/chart" uri="{C3380CC4-5D6E-409C-BE32-E72D297353CC}">
              <c16:uniqueId val="{00000001-B5E9-4F57-A0EE-3B5C2B462D2A}"/>
            </c:ext>
          </c:extLst>
        </c:ser>
        <c:dLbls>
          <c:showLegendKey val="0"/>
          <c:showVal val="0"/>
          <c:showCatName val="0"/>
          <c:showSerName val="0"/>
          <c:showPercent val="0"/>
          <c:showBubbleSize val="0"/>
        </c:dLbls>
        <c:axId val="532983184"/>
        <c:axId val="532984360"/>
      </c:scatterChart>
      <c:valAx>
        <c:axId val="532983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984360"/>
        <c:crosses val="autoZero"/>
        <c:crossBetween val="midCat"/>
      </c:valAx>
      <c:valAx>
        <c:axId val="532984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98318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Aspect Ratio</a:t>
            </a:r>
            <a:r>
              <a:rPr lang="en-US" baseline="0"/>
              <a:t> (A/12) impact on mass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layout>
                <c:manualLayout>
                  <c:x val="-0.26758136482939632"/>
                  <c:y val="3.6620370370370373E-2"/>
                </c:manualLayout>
              </c:layout>
              <c:numFmt formatCode="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'Mass dependency'!$T$3:$T$6</c:f>
              <c:numCache>
                <c:formatCode>General</c:formatCode>
                <c:ptCount val="4"/>
                <c:pt idx="0">
                  <c:v>0.66666666666666663</c:v>
                </c:pt>
                <c:pt idx="1">
                  <c:v>1</c:v>
                </c:pt>
                <c:pt idx="2">
                  <c:v>1.3333333333333333</c:v>
                </c:pt>
              </c:numCache>
            </c:numRef>
          </c:xVal>
          <c:yVal>
            <c:numRef>
              <c:f>'Mass dependency'!$U$3:$U$6</c:f>
              <c:numCache>
                <c:formatCode>General</c:formatCode>
                <c:ptCount val="4"/>
                <c:pt idx="0">
                  <c:v>0.96094039244724172</c:v>
                </c:pt>
                <c:pt idx="1">
                  <c:v>1</c:v>
                </c:pt>
                <c:pt idx="2">
                  <c:v>1.1426323583857831</c:v>
                </c:pt>
              </c:numCache>
            </c:numRef>
          </c:yVal>
          <c:smooth val="0"/>
          <c:extLst>
            <c:ext xmlns:c16="http://schemas.microsoft.com/office/drawing/2014/chart" uri="{C3380CC4-5D6E-409C-BE32-E72D297353CC}">
              <c16:uniqueId val="{00000000-D5F4-462F-9F34-5CD248804813}"/>
            </c:ext>
          </c:extLst>
        </c:ser>
        <c:dLbls>
          <c:showLegendKey val="0"/>
          <c:showVal val="0"/>
          <c:showCatName val="0"/>
          <c:showSerName val="0"/>
          <c:showPercent val="0"/>
          <c:showBubbleSize val="0"/>
        </c:dLbls>
        <c:axId val="532979264"/>
        <c:axId val="530343768"/>
      </c:scatterChart>
      <c:valAx>
        <c:axId val="532979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343768"/>
        <c:crosses val="autoZero"/>
        <c:crossBetween val="midCat"/>
      </c:valAx>
      <c:valAx>
        <c:axId val="530343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9792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'Mass dependency'!$AB$11</c:f>
              <c:strCache>
                <c:ptCount val="1"/>
              </c:strCache>
            </c:strRef>
          </c:tx>
          <c:spPr>
            <a:ln w="19050" cap="rnd">
              <a:solidFill>
                <a:schemeClr val="accent1"/>
              </a:solidFill>
              <a:round/>
            </a:ln>
            <a:effectLst/>
          </c:spPr>
          <c:marker>
            <c:symbol val="none"/>
          </c:marker>
          <c:xVal>
            <c:numRef>
              <c:f>'Mass dependency'!$AA$12:$AA$37</c:f>
              <c:numCache>
                <c:formatCode>General</c:formatCode>
                <c:ptCount val="26"/>
              </c:numCache>
            </c:numRef>
          </c:xVal>
          <c:yVal>
            <c:numRef>
              <c:f>'Mass dependency'!$AB$12:$AB$37</c:f>
              <c:numCache>
                <c:formatCode>General</c:formatCode>
                <c:ptCount val="26"/>
              </c:numCache>
            </c:numRef>
          </c:yVal>
          <c:smooth val="0"/>
          <c:extLst>
            <c:ext xmlns:c16="http://schemas.microsoft.com/office/drawing/2014/chart" uri="{C3380CC4-5D6E-409C-BE32-E72D297353CC}">
              <c16:uniqueId val="{00000000-D8D8-4BD1-B671-29C177332325}"/>
            </c:ext>
          </c:extLst>
        </c:ser>
        <c:ser>
          <c:idx val="1"/>
          <c:order val="1"/>
          <c:tx>
            <c:strRef>
              <c:f>'Mass dependency'!$AC$11</c:f>
              <c:strCache>
                <c:ptCount val="1"/>
              </c:strCache>
            </c:strRef>
          </c:tx>
          <c:spPr>
            <a:ln w="19050" cap="rnd">
              <a:solidFill>
                <a:schemeClr val="accent2"/>
              </a:solidFill>
              <a:round/>
            </a:ln>
            <a:effectLst/>
          </c:spPr>
          <c:marker>
            <c:symbol val="none"/>
          </c:marker>
          <c:xVal>
            <c:numRef>
              <c:f>'Mass dependency'!$AA$12:$AA$37</c:f>
              <c:numCache>
                <c:formatCode>General</c:formatCode>
                <c:ptCount val="26"/>
              </c:numCache>
            </c:numRef>
          </c:xVal>
          <c:yVal>
            <c:numRef>
              <c:f>'Mass dependency'!$AC$12:$AC$37</c:f>
              <c:numCache>
                <c:formatCode>General</c:formatCode>
                <c:ptCount val="26"/>
              </c:numCache>
            </c:numRef>
          </c:yVal>
          <c:smooth val="0"/>
          <c:extLst>
            <c:ext xmlns:c16="http://schemas.microsoft.com/office/drawing/2014/chart" uri="{C3380CC4-5D6E-409C-BE32-E72D297353CC}">
              <c16:uniqueId val="{00000001-D8D8-4BD1-B671-29C177332325}"/>
            </c:ext>
          </c:extLst>
        </c:ser>
        <c:ser>
          <c:idx val="2"/>
          <c:order val="2"/>
          <c:tx>
            <c:strRef>
              <c:f>'Mass dependency'!$AD$11</c:f>
              <c:strCache>
                <c:ptCount val="1"/>
              </c:strCache>
            </c:strRef>
          </c:tx>
          <c:spPr>
            <a:ln w="19050" cap="rnd">
              <a:solidFill>
                <a:schemeClr val="accent3"/>
              </a:solidFill>
              <a:round/>
            </a:ln>
            <a:effectLst/>
          </c:spPr>
          <c:marker>
            <c:symbol val="none"/>
          </c:marker>
          <c:xVal>
            <c:numRef>
              <c:f>'Mass dependency'!$AA$12:$AA$37</c:f>
              <c:numCache>
                <c:formatCode>General</c:formatCode>
                <c:ptCount val="26"/>
              </c:numCache>
            </c:numRef>
          </c:xVal>
          <c:yVal>
            <c:numRef>
              <c:f>'Mass dependency'!$AD$12:$AD$37</c:f>
              <c:numCache>
                <c:formatCode>General</c:formatCode>
                <c:ptCount val="26"/>
              </c:numCache>
            </c:numRef>
          </c:yVal>
          <c:smooth val="0"/>
          <c:extLst>
            <c:ext xmlns:c16="http://schemas.microsoft.com/office/drawing/2014/chart" uri="{C3380CC4-5D6E-409C-BE32-E72D297353CC}">
              <c16:uniqueId val="{00000002-D8D8-4BD1-B671-29C177332325}"/>
            </c:ext>
          </c:extLst>
        </c:ser>
        <c:dLbls>
          <c:showLegendKey val="0"/>
          <c:showVal val="0"/>
          <c:showCatName val="0"/>
          <c:showSerName val="0"/>
          <c:showPercent val="0"/>
          <c:showBubbleSize val="0"/>
        </c:dLbls>
        <c:axId val="530350040"/>
        <c:axId val="530350432"/>
      </c:scatterChart>
      <c:valAx>
        <c:axId val="530350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350432"/>
        <c:crosses val="autoZero"/>
        <c:crossBetween val="midCat"/>
      </c:valAx>
      <c:valAx>
        <c:axId val="5303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350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0.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3062869-466B-451D-993B-C7AD28C04F0E}">
  <sheetPr/>
  <sheetViews>
    <sheetView zoomScale="121" workbookViewId="0" zoomToFit="1"/>
  </sheetViews>
  <pageMargins left="0.7" right="0.7" top="0.75" bottom="0.75" header="0.3" footer="0.3"/>
  <drawing r:id="rId1"/>
</chartsheet>
</file>

<file path=xl/ctrlProps/ctrlProp1.xml><?xml version="1.0" encoding="utf-8"?>
<formControlPr xmlns="http://schemas.microsoft.com/office/spreadsheetml/2009/9/main" objectType="Drop" dropLines="10" dropStyle="combo" dx="22" fmlaLink="Q_prototype" fmlaRange="Q_prototypes" noThreeD="1" sel="2" val="0"/>
</file>

<file path=xl/ctrlProps/ctrlProp2.xml><?xml version="1.0" encoding="utf-8"?>
<formControlPr xmlns="http://schemas.microsoft.com/office/spreadsheetml/2009/9/main" objectType="Drop" dropLines="40" dropStyle="combo" dx="22" fmlaLink="Lists!$E$15" fmlaRange="scenarios" noThreeD="1" sel="11" val="0"/>
</file>

<file path=xl/ctrlProps/ctrlProp3.xml><?xml version="1.0" encoding="utf-8"?>
<formControlPr xmlns="http://schemas.microsoft.com/office/spreadsheetml/2009/9/main" objectType="Drop" dropLines="40" dropStyle="combo" dx="22" fmlaLink="scenario_size_nr" fmlaRange="scenario_sizes" noThreeD="1" sel="1" val="0"/>
</file>

<file path=xl/ctrlProps/ctrlProp4.xml><?xml version="1.0" encoding="utf-8"?>
<formControlPr xmlns="http://schemas.microsoft.com/office/spreadsheetml/2009/9/main" objectType="Drop" dropLines="40" dropStyle="combo" dx="22" fmlaLink="ref_wind_speed_nr" fmlaRange="ref_wind_speeds" noThreeD="1" sel="4" val="0"/>
</file>

<file path=xl/ctrlProps/ctrlProp5.xml><?xml version="1.0" encoding="utf-8"?>
<formControlPr xmlns="http://schemas.microsoft.com/office/spreadsheetml/2009/9/main" objectType="Drop" dropLines="40" dropStyle="combo" dx="22" fmlaLink="AWES_power_nr" fmlaRange="AWES_powers" noThreeD="1" sel="1" val="0"/>
</file>

<file path=xl/ctrlProps/ctrlProp6.xml><?xml version="1.0" encoding="utf-8"?>
<formControlPr xmlns="http://schemas.microsoft.com/office/spreadsheetml/2009/9/main" objectType="Drop" dropLines="40" dropStyle="combo" dx="22" fmlaLink="park_size_nr" fmlaRange="park_sizes" noThreeD="1" sel="1" val="0"/>
</file>

<file path=xl/ctrlProps/ctrlProp7.xml><?xml version="1.0" encoding="utf-8"?>
<formControlPr xmlns="http://schemas.microsoft.com/office/spreadsheetml/2009/9/main" objectType="Drop" dropLines="40" dropStyle="combo" dx="22" fmlaLink="P_level_nr" fmlaRange="P_levels" noThreeD="1" sel="1" val="0"/>
</file>

<file path=xl/ctrlProps/ctrlProp8.xml><?xml version="1.0" encoding="utf-8"?>
<formControlPr xmlns="http://schemas.microsoft.com/office/spreadsheetml/2009/9/main" objectType="Drop" dropLines="40" dropStyle="combo" dx="22" fmlaLink="Tp_level_nr" fmlaRange="Tp_levels" noThreeD="1" sel="1" val="0"/>
</file>

<file path=xl/ctrlProps/ctrlProp9.xml><?xml version="1.0" encoding="utf-8"?>
<formControlPr xmlns="http://schemas.microsoft.com/office/spreadsheetml/2009/9/main" objectType="Drop" dropLines="40" dropStyle="combo" dx="22" fmlaLink="Tt_level_nr" fmlaRange="Tt_levels" noThreeD="1" sel="1" val="0"/>
</file>

<file path=xl/ctrlProps/ctrlProp10.xml><?xml version="1.0" encoding="utf-8"?>
<formControlPr xmlns="http://schemas.microsoft.com/office/spreadsheetml/2009/9/main" objectType="Drop" dropLines="40" dropStyle="combo" dx="22" fmlaLink="quantity_nr" fmlaRange="quantities" noThreeD="1" sel="1" val="0"/>
</file>

<file path=xl/ctrlProps/ctrlProp11.xml><?xml version="1.0" encoding="utf-8"?>
<formControlPr xmlns="http://schemas.microsoft.com/office/spreadsheetml/2009/9/main" objectType="Drop" dropLines="40" dropStyle="combo" dx="22" fmlaLink="Ampyx_WACC_nr" fmlaRange="Ampyx_WACCs" noThreeD="1" sel="1" val="0"/>
</file>

<file path=xl/ctrlProps/ctrlProp12.xml><?xml version="1.0" encoding="utf-8"?>
<formControlPr xmlns="http://schemas.microsoft.com/office/spreadsheetml/2009/9/main" objectType="Drop" dropLines="40" dropStyle="combo" dx="22" fmlaLink="Project_WACC_nr" fmlaRange="Project_WACCs" noThreeD="1" sel="1" val="0"/>
</file>

<file path=xl/ctrlProps/ctrlProp13.xml><?xml version="1.0" encoding="utf-8"?>
<formControlPr xmlns="http://schemas.microsoft.com/office/spreadsheetml/2009/9/main" objectType="Drop" dropLines="40" dropStyle="combo" dx="22" fmlaLink="AWES_margin_nr" fmlaRange="AWES_margins" noThreeD="1" sel="1" val="0"/>
</file>

<file path=xl/ctrlProps/ctrlProp14.xml><?xml version="1.0" encoding="utf-8"?>
<formControlPr xmlns="http://schemas.microsoft.com/office/spreadsheetml/2009/9/main" objectType="Drop" dropLines="40" dropStyle="combo" dx="22" fmlaLink="SP_margin_nr" fmlaRange="SP_margins" noThreeD="1" sel="1" val="0"/>
</file>

<file path=xl/ctrlProps/ctrlProp15.xml><?xml version="1.0" encoding="utf-8"?>
<formControlPr xmlns="http://schemas.microsoft.com/office/spreadsheetml/2009/9/main" objectType="CheckBox" checked="Checked" fmlaLink="greenfield" lockText="1" noThreeD="1"/>
</file>

<file path=xl/ctrlProps/ctrlProp16.xml><?xml version="1.0" encoding="utf-8"?>
<formControlPr xmlns="http://schemas.microsoft.com/office/spreadsheetml/2009/9/main" objectType="CheckBox" fmlaLink="offshore" lockText="1" noThreeD="1"/>
</file>

<file path=xl/ctrlProps/ctrlProp17.xml><?xml version="1.0" encoding="utf-8"?>
<formControlPr xmlns="http://schemas.microsoft.com/office/spreadsheetml/2009/9/main" objectType="CheckBox" fmlaLink="offshore_floating" lockText="1" noThreeD="1"/>
</file>

<file path=xl/ctrlProps/ctrlProp18.xml><?xml version="1.0" encoding="utf-8"?>
<formControlPr xmlns="http://schemas.microsoft.com/office/spreadsheetml/2009/9/main" objectType="Drop" dropLines="40" dropStyle="combo" dx="22" fmlaLink="SP_margin_nr" fmlaRange="SP_margins" noThreeD="1" sel="1" val="0"/>
</file>

<file path=xl/ctrlProps/ctrlProp19.xml><?xml version="1.0" encoding="utf-8"?>
<formControlPr xmlns="http://schemas.microsoft.com/office/spreadsheetml/2009/9/main" objectType="Drop" dropLines="40" dropStyle="combo" dx="22" fmlaLink="Horizon_nr" fmlaRange="Horizons" noThreeD="1" sel="1" val="0"/>
</file>

<file path=xl/ctrlProps/ctrlProp20.xml><?xml version="1.0" encoding="utf-8"?>
<formControlPr xmlns="http://schemas.microsoft.com/office/spreadsheetml/2009/9/main" objectType="Drop" dropLines="40" dropStyle="combo" dx="22" fmlaLink="scaling_factor" fmlaRange="scaling_factors" noThreeD="1" sel="11" val="0"/>
</file>

<file path=xl/ctrlProps/ctrlProp21.xml><?xml version="1.0" encoding="utf-8"?>
<formControlPr xmlns="http://schemas.microsoft.com/office/spreadsheetml/2009/9/main" objectType="Drop" dropLines="40" dropStyle="combo" dx="22" fmlaLink="scaling_factor_nr" fmlaRange="scaling_factors" noThreeD="1" sel="11" val="0"/>
</file>

<file path=xl/ctrlProps/ctrlProp22.xml><?xml version="1.0" encoding="utf-8"?>
<formControlPr xmlns="http://schemas.microsoft.com/office/spreadsheetml/2009/9/main" objectType="Drop" dropLines="40" dropStyle="combo" dx="22" fmlaLink="experience_factor_nr" fmlaRange="experience_factors" noThreeD="1" sel="11" val="0"/>
</file>

<file path=xl/ctrlProps/ctrlProp23.xml><?xml version="1.0" encoding="utf-8"?>
<formControlPr xmlns="http://schemas.microsoft.com/office/spreadsheetml/2009/9/main" objectType="Drop" dropLines="40" dropStyle="combo" dx="22" fmlaLink="theta_nr" fmlaRange="thetas" noThreeD="1" sel="8" val="0"/>
</file>

<file path=xl/ctrlProps/ctrlProp24.xml><?xml version="1.0" encoding="utf-8"?>
<formControlPr xmlns="http://schemas.microsoft.com/office/spreadsheetml/2009/9/main" objectType="Drop" dropLines="40" dropStyle="combo" dx="22" fmlaLink="KPI_indicator" fmlaRange="KPI_indicators" noThreeD="1" sel="7" val="0"/>
</file>

<file path=xl/ctrlProps/ctrlProp25.xml><?xml version="1.0" encoding="utf-8"?>
<formControlPr xmlns="http://schemas.microsoft.com/office/spreadsheetml/2009/9/main" objectType="CheckBox" fmlaLink="offshore_floating" lockText="1" noThreeD="1"/>
</file>

<file path=xl/ctrlProps/ctrlProp26.xml><?xml version="1.0" encoding="utf-8"?>
<formControlPr xmlns="http://schemas.microsoft.com/office/spreadsheetml/2009/9/main" objectType="CheckBox" fmlaLink="offshore" lockText="1" noThreeD="1"/>
</file>

<file path=xl/ctrlProps/ctrlProp27.xml><?xml version="1.0" encoding="utf-8"?>
<formControlPr xmlns="http://schemas.microsoft.com/office/spreadsheetml/2009/9/main" objectType="Drop" dropLines="40" dropStyle="combo" dx="22" fmlaLink="scenario_nr" fmlaRange="scenarios" noThreeD="1" sel="11" val="0"/>
</file>

<file path=xl/ctrlProps/ctrlProp28.xml><?xml version="1.0" encoding="utf-8"?>
<formControlPr xmlns="http://schemas.microsoft.com/office/spreadsheetml/2009/9/main" objectType="Drop" dropLines="40" dropStyle="combo" dx="22" fmlaLink="scenario_size_nr" fmlaRange="scenario_sizes" noThreeD="1" sel="1" val="0"/>
</file>

<file path=xl/ctrlProps/ctrlProp29.xml><?xml version="1.0" encoding="utf-8"?>
<formControlPr xmlns="http://schemas.microsoft.com/office/spreadsheetml/2009/9/main" objectType="Drop" dropLines="40" dropStyle="combo" dx="22" fmlaLink="avg_wind_speed_nr" fmlaRange="avg_wind_speeds" noThreeD="1" sel="1" val="0"/>
</file>

<file path=xl/ctrlProps/ctrlProp30.xml><?xml version="1.0" encoding="utf-8"?>
<formControlPr xmlns="http://schemas.microsoft.com/office/spreadsheetml/2009/9/main" objectType="Drop" dropLines="40" dropStyle="combo" dx="22" fmlaLink="scenario_nr" fmlaRange="scenarios" noThreeD="1" sel="11" val="0"/>
</file>

<file path=xl/ctrlProps/ctrlProp31.xml><?xml version="1.0" encoding="utf-8"?>
<formControlPr xmlns="http://schemas.microsoft.com/office/spreadsheetml/2009/9/main" objectType="Drop" dropLines="40" dropStyle="combo" dx="22" fmlaLink="KPI_indicator" fmlaRange="KPI_indicators" noThreeD="1" sel="7" val="0"/>
</file>

<file path=xl/ctrlProps/ctrlProp32.xml><?xml version="1.0" encoding="utf-8"?>
<formControlPr xmlns="http://schemas.microsoft.com/office/spreadsheetml/2009/9/main" objectType="Drop" dropLines="40" dropStyle="combo" dx="22" fmlaLink="scenario_nr" fmlaRange="scenarios" noThreeD="1" sel="11" val="0"/>
</file>

<file path=xl/ctrlProps/ctrlProp33.xml><?xml version="1.0" encoding="utf-8"?>
<formControlPr xmlns="http://schemas.microsoft.com/office/spreadsheetml/2009/9/main" objectType="Drop" dropLines="4" dropStyle="combo" dx="22" fmlaLink="gen_type_nr" fmlaRange="gen_types" noThreeD="1" sel="2" val="0"/>
</file>

<file path=xl/ctrlProps/ctrlProp34.xml><?xml version="1.0" encoding="utf-8"?>
<formControlPr xmlns="http://schemas.microsoft.com/office/spreadsheetml/2009/9/main" objectType="Drop" dropLines="40" dropStyle="combo" dx="22" fmlaLink="scenario_size_nr" fmlaRange="scenario_sizes" noThreeD="1" sel="1" val="0"/>
</file>

<file path=xl/ctrlProps/ctrlProp35.xml><?xml version="1.0" encoding="utf-8"?>
<formControlPr xmlns="http://schemas.microsoft.com/office/spreadsheetml/2009/9/main" objectType="Drop" dropLines="40" dropStyle="combo" dx="22" fmlaLink="P_level_nr" fmlaRange="P_levels" noThreeD="1" sel="1" val="0"/>
</file>

<file path=xl/ctrlProps/ctrlProp36.xml><?xml version="1.0" encoding="utf-8"?>
<formControlPr xmlns="http://schemas.microsoft.com/office/spreadsheetml/2009/9/main" objectType="Drop" dropLines="40" dropStyle="combo" dx="22" fmlaLink="Tp_level_nr" fmlaRange="Tp_levels" noThreeD="1" sel="1" val="0"/>
</file>

<file path=xl/ctrlProps/ctrlProp37.xml><?xml version="1.0" encoding="utf-8"?>
<formControlPr xmlns="http://schemas.microsoft.com/office/spreadsheetml/2009/9/main" objectType="Drop" dropLines="40" dropStyle="combo" dx="22" fmlaLink="Tt_level_nr" fmlaRange="Tt_levels" noThreeD="1" sel="1" val="0"/>
</file>

<file path=xl/ctrlProps/ctrlProp38.xml><?xml version="1.0" encoding="utf-8"?>
<formControlPr xmlns="http://schemas.microsoft.com/office/spreadsheetml/2009/9/main" objectType="Drop" dropLines="40" dropStyle="combo" dx="22" fmlaLink="avg_wind_speed_nr" fmlaRange="avg_wind_speeds" noThreeD="1" sel="1" val="0"/>
</file>

<file path=xl/ctrlProps/ctrlProp39.xml><?xml version="1.0" encoding="utf-8"?>
<formControlPr xmlns="http://schemas.microsoft.com/office/spreadsheetml/2009/9/main" objectType="CheckBox" fmlaLink="offshore_floating" lockText="1" noThreeD="1"/>
</file>

<file path=xl/ctrlProps/ctrlProp40.xml><?xml version="1.0" encoding="utf-8"?>
<formControlPr xmlns="http://schemas.microsoft.com/office/spreadsheetml/2009/9/main" objectType="CheckBox" fmlaLink="offshore" lockText="1" noThreeD="1"/>
</file>

<file path=xl/ctrlProps/ctrlProp41.xml><?xml version="1.0" encoding="utf-8"?>
<formControlPr xmlns="http://schemas.microsoft.com/office/spreadsheetml/2009/9/main" objectType="CheckBox" checked="Checked" fmlaLink="greenfield" lockText="1" noThreeD="1"/>
</file>

<file path=xl/ctrlProps/ctrlProp42.xml><?xml version="1.0" encoding="utf-8"?>
<formControlPr xmlns="http://schemas.microsoft.com/office/spreadsheetml/2009/9/main" objectType="Drop" dropLines="40" dropStyle="combo" dx="22" fmlaLink="park_size_nr" fmlaRange="park_sizes" noThreeD="1" sel="1" val="0"/>
</file>

<file path=xl/ctrlProps/ctrlProp43.xml><?xml version="1.0" encoding="utf-8"?>
<formControlPr xmlns="http://schemas.microsoft.com/office/spreadsheetml/2009/9/main" objectType="Drop" dropLines="40" dropStyle="combo" dx="22" fmlaLink="quantity_nr" fmlaRange="quantities" noThreeD="1" sel="1" val="0"/>
</file>

<file path=xl/ctrlProps/ctrlProp44.xml><?xml version="1.0" encoding="utf-8"?>
<formControlPr xmlns="http://schemas.microsoft.com/office/spreadsheetml/2009/9/main" objectType="Drop" dropLines="40" dropStyle="combo" dx="22" fmlaLink="scenario_size_nr" fmlaRange="scenario_sizes" noThreeD="1" sel="1" val="0"/>
</file>

<file path=xl/ctrlProps/ctrlProp45.xml><?xml version="1.0" encoding="utf-8"?>
<formControlPr xmlns="http://schemas.microsoft.com/office/spreadsheetml/2009/9/main" objectType="Drop" dropLines="40" dropStyle="combo" dx="22" fmlaLink="quantity_nr" fmlaRange="quantities" noThreeD="1" sel="1" val="0"/>
</file>

<file path=xl/ctrlProps/ctrlProp46.xml><?xml version="1.0" encoding="utf-8"?>
<formControlPr xmlns="http://schemas.microsoft.com/office/spreadsheetml/2009/9/main" objectType="Drop" dropLines="40" dropStyle="combo" dx="22" fmlaLink="P_level_nr" fmlaRange="P_levels" noThreeD="1" sel="1" val="0"/>
</file>

<file path=xl/ctrlProps/ctrlProp47.xml><?xml version="1.0" encoding="utf-8"?>
<formControlPr xmlns="http://schemas.microsoft.com/office/spreadsheetml/2009/9/main" objectType="Drop" dropLines="40" dropStyle="combo" dx="22" fmlaLink="Tp_level_nr" fmlaRange="Tp_levels" noThreeD="1" sel="1" val="0"/>
</file>

<file path=xl/ctrlProps/ctrlProp48.xml><?xml version="1.0" encoding="utf-8"?>
<formControlPr xmlns="http://schemas.microsoft.com/office/spreadsheetml/2009/9/main" objectType="Drop" dropLines="40" dropStyle="combo" dx="22" fmlaLink="Tt_level_nr" fmlaRange="Tt_levels" noThreeD="1" sel="1" val="0"/>
</file>

<file path=xl/ctrlProps/ctrlProp49.xml><?xml version="1.0" encoding="utf-8"?>
<formControlPr xmlns="http://schemas.microsoft.com/office/spreadsheetml/2009/9/main" objectType="Drop" dropLines="40" dropStyle="combo" dx="22" fmlaLink="indicator_nr" fmlaRange="indicators" noThreeD="1" sel="19" val="6"/>
</file>

<file path=xl/ctrlProps/ctrlProp50.xml><?xml version="1.0" encoding="utf-8"?>
<formControlPr xmlns="http://schemas.microsoft.com/office/spreadsheetml/2009/9/main" objectType="Drop" dropLines="40" dropStyle="combo" dx="22" fmlaLink="X_axis_nr" fmlaRange="drivers" noThreeD="1" sel="1" val="0"/>
</file>

<file path=xl/ctrlProps/ctrlProp51.xml><?xml version="1.0" encoding="utf-8"?>
<formControlPr xmlns="http://schemas.microsoft.com/office/spreadsheetml/2009/9/main" objectType="Drop" dropLines="40" dropStyle="combo" dx="22" fmlaLink="Y_axis_nr" fmlaRange="drivers" noThreeD="1" sel="4" val="0"/>
</file>

<file path=xl/ctrlProps/ctrlProp52.xml><?xml version="1.0" encoding="utf-8"?>
<formControlPr xmlns="http://schemas.microsoft.com/office/spreadsheetml/2009/9/main" objectType="Drop" dropLines="40" dropStyle="combo" dx="22" fmlaLink="park_size_nr" fmlaRange="park_sizes" noThreeD="1" sel="1" val="0"/>
</file>

<file path=xl/ctrlProps/ctrlProp53.xml><?xml version="1.0" encoding="utf-8"?>
<formControlPr xmlns="http://schemas.microsoft.com/office/spreadsheetml/2009/9/main" objectType="Drop" dropLines="40" dropStyle="combo" dx="22" fmlaLink="avg_wind_speed_nr" fmlaRange="avg_wind_speeds" noThreeD="1" sel="1" val="0"/>
</file>

<file path=xl/ctrlProps/ctrlProp54.xml><?xml version="1.0" encoding="utf-8"?>
<formControlPr xmlns="http://schemas.microsoft.com/office/spreadsheetml/2009/9/main" objectType="Drop" dropLines="40" dropStyle="combo" dx="22" fmlaLink="Ampyx_WACC_nr" fmlaRange="Ampyx_WACCs" noThreeD="1" sel="1" val="0"/>
</file>

<file path=xl/ctrlProps/ctrlProp55.xml><?xml version="1.0" encoding="utf-8"?>
<formControlPr xmlns="http://schemas.microsoft.com/office/spreadsheetml/2009/9/main" objectType="Drop" dropLines="40" dropStyle="combo" dx="22" fmlaLink="Project_WACC_nr" fmlaRange="Project_WACCs" noThreeD="1" sel="1" val="0"/>
</file>

<file path=xl/ctrlProps/ctrlProp56.xml><?xml version="1.0" encoding="utf-8"?>
<formControlPr xmlns="http://schemas.microsoft.com/office/spreadsheetml/2009/9/main" objectType="Drop" dropLines="40" dropStyle="combo" dx="22" fmlaLink="AWES_margin_nr" fmlaRange="AWES_margins" noThreeD="1" sel="1" val="0"/>
</file>

<file path=xl/ctrlProps/ctrlProp57.xml><?xml version="1.0" encoding="utf-8"?>
<formControlPr xmlns="http://schemas.microsoft.com/office/spreadsheetml/2009/9/main" objectType="Drop" dropLines="40" dropStyle="combo" dx="22" fmlaLink="SP_margin_nr" fmlaRange="SP_margins" noThreeD="1" sel="1" val="0"/>
</file>

<file path=xl/ctrlProps/ctrlProp58.xml><?xml version="1.0" encoding="utf-8"?>
<formControlPr xmlns="http://schemas.microsoft.com/office/spreadsheetml/2009/9/main" objectType="Drop" dropLines="40" dropStyle="combo" dx="22" fmlaLink="Horizon_nr" fmlaRange="Horizons" noThreeD="1" sel="1" val="0"/>
</file>

<file path=xl/ctrlProps/ctrlProp59.xml><?xml version="1.0" encoding="utf-8"?>
<formControlPr xmlns="http://schemas.microsoft.com/office/spreadsheetml/2009/9/main" objectType="Drop" dropLines="40" dropStyle="combo" dx="22" fmlaLink="scenario_nr" fmlaRange="scenarios" noThreeD="1" sel="11" val="0"/>
</file>

<file path=xl/ctrlProps/ctrlProp60.xml><?xml version="1.0" encoding="utf-8"?>
<formControlPr xmlns="http://schemas.microsoft.com/office/spreadsheetml/2009/9/main" objectType="CheckBox" fmlaLink="offshore_floating" lockText="1" noThreeD="1"/>
</file>

<file path=xl/ctrlProps/ctrlProp61.xml><?xml version="1.0" encoding="utf-8"?>
<formControlPr xmlns="http://schemas.microsoft.com/office/spreadsheetml/2009/9/main" objectType="CheckBox" fmlaLink="offshore" lockText="1" noThreeD="1"/>
</file>

<file path=xl/ctrlProps/ctrlProp62.xml><?xml version="1.0" encoding="utf-8"?>
<formControlPr xmlns="http://schemas.microsoft.com/office/spreadsheetml/2009/9/main" objectType="CheckBox" checked="Checked" fmlaLink="greenfield" lockText="1" noThreeD="1"/>
</file>

<file path=xl/ctrlProps/ctrlProp63.xml><?xml version="1.0" encoding="utf-8"?>
<formControlPr xmlns="http://schemas.microsoft.com/office/spreadsheetml/2009/9/main" objectType="Drop" dropLines="40" dropStyle="combo" dx="22" fmlaLink="SP_margin_nr" fmlaRange="SP_margins" noThreeD="1" sel="1" val="0"/>
</file>

<file path=xl/ctrlProps/ctrlProp64.xml><?xml version="1.0" encoding="utf-8"?>
<formControlPr xmlns="http://schemas.microsoft.com/office/spreadsheetml/2009/9/main" objectType="Drop" dropLines="40" dropStyle="combo" dx="22" fmlaLink="indicator_nr" fmlaRange="indicators" noThreeD="1" sel="19" val="6"/>
</file>

<file path=xl/ctrlProps/ctrlProp65.xml><?xml version="1.0" encoding="utf-8"?>
<formControlPr xmlns="http://schemas.microsoft.com/office/spreadsheetml/2009/9/main" objectType="Drop" dropLines="40" dropStyle="combo" dx="22" fmlaLink="scenario_nr" fmlaRange="scenarios" noThreeD="1" sel="11" val="0"/>
</file>

<file path=xl/ctrlProps/ctrlProp66.xml><?xml version="1.0" encoding="utf-8"?>
<formControlPr xmlns="http://schemas.microsoft.com/office/spreadsheetml/2009/9/main" objectType="Drop" dropLines="3" dropStyle="combo" dx="22" fmlaLink="gen_type_nr" fmlaRange="gen_types" noThreeD="1" sel="2" val="0"/>
</file>

<file path=xl/ctrlProps/ctrlProp67.xml><?xml version="1.0" encoding="utf-8"?>
<formControlPr xmlns="http://schemas.microsoft.com/office/spreadsheetml/2009/9/main" objectType="Drop" dropLines="40" dropStyle="combo" dx="22" fmlaLink="scenario_size_nr" fmlaRange="scenario_sizes" noThreeD="1" sel="1" val="0"/>
</file>

<file path=xl/ctrlProps/ctrlProp68.xml><?xml version="1.0" encoding="utf-8"?>
<formControlPr xmlns="http://schemas.microsoft.com/office/spreadsheetml/2009/9/main" objectType="Drop" dropLines="40" dropStyle="combo" dx="22" fmlaLink="P_level_nr" fmlaRange="P_levels" noThreeD="1" sel="1" val="0"/>
</file>

<file path=xl/ctrlProps/ctrlProp69.xml><?xml version="1.0" encoding="utf-8"?>
<formControlPr xmlns="http://schemas.microsoft.com/office/spreadsheetml/2009/9/main" objectType="Drop" dropLines="40" dropStyle="combo" dx="22" fmlaLink="Tp_level_nr" fmlaRange="Tp_levels" noThreeD="1" sel="1" val="0"/>
</file>

<file path=xl/ctrlProps/ctrlProp70.xml><?xml version="1.0" encoding="utf-8"?>
<formControlPr xmlns="http://schemas.microsoft.com/office/spreadsheetml/2009/9/main" objectType="Drop" dropLines="40" dropStyle="combo" dx="22" fmlaLink="Tt_level_nr" fmlaRange="Tt_levels" noThreeD="1" sel="1" val="0"/>
</file>

<file path=xl/ctrlProps/ctrlProp71.xml><?xml version="1.0" encoding="utf-8"?>
<formControlPr xmlns="http://schemas.microsoft.com/office/spreadsheetml/2009/9/main" objectType="Drop" dropLines="40" dropStyle="combo" dx="22" fmlaLink="avg_wind_speed_nr" fmlaRange="avg_wind_speeds" noThreeD="1" sel="1" val="0"/>
</file>

<file path=xl/ctrlProps/ctrlProp72.xml><?xml version="1.0" encoding="utf-8"?>
<formControlPr xmlns="http://schemas.microsoft.com/office/spreadsheetml/2009/9/main" objectType="CheckBox" fmlaLink="offshore_floating" lockText="1" noThreeD="1"/>
</file>

<file path=xl/ctrlProps/ctrlProp73.xml><?xml version="1.0" encoding="utf-8"?>
<formControlPr xmlns="http://schemas.microsoft.com/office/spreadsheetml/2009/9/main" objectType="CheckBox" fmlaLink="offshore" lockText="1" noThreeD="1"/>
</file>

<file path=xl/ctrlProps/ctrlProp74.xml><?xml version="1.0" encoding="utf-8"?>
<formControlPr xmlns="http://schemas.microsoft.com/office/spreadsheetml/2009/9/main" objectType="CheckBox" checked="Checked" fmlaLink="greenfield" lockText="1" noThreeD="1"/>
</file>

<file path=xl/ctrlProps/ctrlProp75.xml><?xml version="1.0" encoding="utf-8"?>
<formControlPr xmlns="http://schemas.microsoft.com/office/spreadsheetml/2009/9/main" objectType="Drop" dropLines="40" dropStyle="combo" dx="22" fmlaLink="park_size_nr" fmlaRange="park_sizes" noThreeD="1" sel="1" val="0"/>
</file>

<file path=xl/ctrlProps/ctrlProp76.xml><?xml version="1.0" encoding="utf-8"?>
<formControlPr xmlns="http://schemas.microsoft.com/office/spreadsheetml/2009/9/main" objectType="Drop" dropLines="40" dropStyle="combo" dx="22" fmlaLink="quantity_nr" fmlaRange="quantities" noThreeD="1" sel="1" val="0"/>
</file>

<file path=xl/ctrlProps/ctrlProp77.xml><?xml version="1.0" encoding="utf-8"?>
<formControlPr xmlns="http://schemas.microsoft.com/office/spreadsheetml/2009/9/main" objectType="Drop" dropLines="40" dropStyle="combo" dx="22" fmlaLink="quantity_nr" fmlaRange="quantities" noThreeD="1" sel="1" val="0"/>
</file>

<file path=xl/ctrlProps/ctrlProp78.xml><?xml version="1.0" encoding="utf-8"?>
<formControlPr xmlns="http://schemas.microsoft.com/office/spreadsheetml/2009/9/main" objectType="Drop" dropLines="40" dropStyle="combo" dx="22" fmlaLink="scenario_size_nr" fmlaRange="scenario_sizes" noThreeD="1" sel="1" val="0"/>
</file>

<file path=xl/ctrlProps/ctrlProp79.xml><?xml version="1.0" encoding="utf-8"?>
<formControlPr xmlns="http://schemas.microsoft.com/office/spreadsheetml/2009/9/main" objectType="Drop" dropLines="10" dropStyle="combo" dx="22" fmlaLink="Q_prototype" fmlaRange="Q_prototypes" noThreeD="1" sel="2" val="0"/>
</file>

<file path=xl/ctrlProps/ctrlProp80.xml><?xml version="1.0" encoding="utf-8"?>
<formControlPr xmlns="http://schemas.microsoft.com/office/spreadsheetml/2009/9/main" objectType="Drop" dropLines="40" dropStyle="combo" dx="22" fmlaLink="scaling_factor_nr" fmlaRange="scaling_factors" noThreeD="1" sel="11" val="0"/>
</file>

<file path=xl/ctrlProps/ctrlProp81.xml><?xml version="1.0" encoding="utf-8"?>
<formControlPr xmlns="http://schemas.microsoft.com/office/spreadsheetml/2009/9/main" objectType="Drop" dropLines="40" dropStyle="combo" dx="22" fmlaLink="experience_factor_nr" fmlaRange="experience_factors" noThreeD="1" sel="11" val="0"/>
</file>

<file path=xl/ctrlProps/ctrlProp82.xml><?xml version="1.0" encoding="utf-8"?>
<formControlPr xmlns="http://schemas.microsoft.com/office/spreadsheetml/2009/9/main" objectType="Drop" dropLines="40" dropStyle="combo" dx="22" fmlaLink="scenario_nr" fmlaRange="scenarios" noThreeD="1" sel="11" val="0"/>
</file>

<file path=xl/ctrlProps/ctrlProp83.xml><?xml version="1.0" encoding="utf-8"?>
<formControlPr xmlns="http://schemas.microsoft.com/office/spreadsheetml/2009/9/main" objectType="Drop" dropLines="3" dropStyle="combo" dx="22" fmlaLink="gen_type_nr" fmlaRange="gen_types" noThreeD="1" sel="2" val="0"/>
</file>

<file path=xl/ctrlProps/ctrlProp84.xml><?xml version="1.0" encoding="utf-8"?>
<formControlPr xmlns="http://schemas.microsoft.com/office/spreadsheetml/2009/9/main" objectType="Drop" dropLines="40" dropStyle="combo" dx="22" fmlaLink="scenario_size_nr" fmlaRange="scenario_sizes" noThreeD="1" sel="1" val="0"/>
</file>

<file path=xl/ctrlProps/ctrlProp85.xml><?xml version="1.0" encoding="utf-8"?>
<formControlPr xmlns="http://schemas.microsoft.com/office/spreadsheetml/2009/9/main" objectType="Drop" dropLines="40" dropStyle="combo" dx="22" fmlaLink="P_level_nr" fmlaRange="P_levels" noThreeD="1" sel="1" val="0"/>
</file>

<file path=xl/ctrlProps/ctrlProp86.xml><?xml version="1.0" encoding="utf-8"?>
<formControlPr xmlns="http://schemas.microsoft.com/office/spreadsheetml/2009/9/main" objectType="Drop" dropLines="40" dropStyle="combo" dx="22" fmlaLink="Tp_level_nr" fmlaRange="Tp_levels" noThreeD="1" sel="1" val="0"/>
</file>

<file path=xl/ctrlProps/ctrlProp87.xml><?xml version="1.0" encoding="utf-8"?>
<formControlPr xmlns="http://schemas.microsoft.com/office/spreadsheetml/2009/9/main" objectType="Drop" dropLines="40" dropStyle="combo" dx="22" fmlaLink="Tt_level_nr" fmlaRange="Tt_levels" noThreeD="1" sel="1" val="0"/>
</file>

<file path=xl/ctrlProps/ctrlProp88.xml><?xml version="1.0" encoding="utf-8"?>
<formControlPr xmlns="http://schemas.microsoft.com/office/spreadsheetml/2009/9/main" objectType="Drop" dropLines="40" dropStyle="combo" dx="22" fmlaLink="avg_wind_speed_nr" fmlaRange="avg_wind_speeds" noThreeD="1" sel="1" val="0"/>
</file>

<file path=xl/ctrlProps/ctrlProp89.xml><?xml version="1.0" encoding="utf-8"?>
<formControlPr xmlns="http://schemas.microsoft.com/office/spreadsheetml/2009/9/main" objectType="CheckBox" fmlaLink="offshore_floating" lockText="1" noThreeD="1"/>
</file>

<file path=xl/ctrlProps/ctrlProp90.xml><?xml version="1.0" encoding="utf-8"?>
<formControlPr xmlns="http://schemas.microsoft.com/office/spreadsheetml/2009/9/main" objectType="CheckBox" fmlaLink="offshore" lockText="1" noThreeD="1"/>
</file>

<file path=xl/ctrlProps/ctrlProp91.xml><?xml version="1.0" encoding="utf-8"?>
<formControlPr xmlns="http://schemas.microsoft.com/office/spreadsheetml/2009/9/main" objectType="CheckBox" checked="Checked" fmlaLink="greenfield" lockText="1" noThreeD="1"/>
</file>

<file path=xl/ctrlProps/ctrlProp92.xml><?xml version="1.0" encoding="utf-8"?>
<formControlPr xmlns="http://schemas.microsoft.com/office/spreadsheetml/2009/9/main" objectType="Drop" dropLines="40" dropStyle="combo" dx="22" fmlaLink="park_size_nr" fmlaRange="park_sizes" noThreeD="1" sel="1" val="0"/>
</file>

<file path=xl/ctrlProps/ctrlProp93.xml><?xml version="1.0" encoding="utf-8"?>
<formControlPr xmlns="http://schemas.microsoft.com/office/spreadsheetml/2009/9/main" objectType="Drop" dropLines="40" dropStyle="combo" dx="22" fmlaLink="quantity_nr" fmlaRange="quantities" noThreeD="1" sel="1" val="0"/>
</file>

<file path=xl/ctrlProps/ctrlProp94.xml><?xml version="1.0" encoding="utf-8"?>
<formControlPr xmlns="http://schemas.microsoft.com/office/spreadsheetml/2009/9/main" objectType="Drop" dropLines="40" dropStyle="combo" dx="22" fmlaLink="avg_wind_speed_nr" fmlaRange="avg_wind_speeds" noThreeD="1" sel="1" val="0"/>
</file>

<file path=xl/ctrlProps/ctrlProp95.xml><?xml version="1.0" encoding="utf-8"?>
<formControlPr xmlns="http://schemas.microsoft.com/office/spreadsheetml/2009/9/main" objectType="Drop" dropLines="40" dropStyle="combo" dx="22" fmlaLink="scenario_size_nr" fmlaRange="scenario_sizes" noThreeD="1" sel="1" val="0"/>
</file>

<file path=xl/ctrlProps/ctrlProp96.xml><?xml version="1.0" encoding="utf-8"?>
<formControlPr xmlns="http://schemas.microsoft.com/office/spreadsheetml/2009/9/main" objectType="Drop" dropLines="40" dropStyle="combo" dx="22" fmlaLink="P_level_nr" fmlaRange="P_levels" noThreeD="1" sel="1" val="0"/>
</file>

<file path=xl/ctrlProps/ctrlProp97.xml><?xml version="1.0" encoding="utf-8"?>
<formControlPr xmlns="http://schemas.microsoft.com/office/spreadsheetml/2009/9/main" objectType="Button" lockText="1"/>
</file>

<file path=xl/ctrlProps/ctrlProp98.xml><?xml version="1.0" encoding="utf-8"?>
<formControlPr xmlns="http://schemas.microsoft.com/office/spreadsheetml/2009/9/main" objectType="Button" lockText="1"/>
</file>

<file path=xl/ctrlProps/ctrlProp99.xml><?xml version="1.0" encoding="utf-8"?>
<formControlPr xmlns="http://schemas.microsoft.com/office/spreadsheetml/2009/9/main" objectType="Button" lockText="1"/>
</file>

<file path=xl/ctrlProps/ctrlProp100.xml><?xml version="1.0" encoding="utf-8"?>
<formControlPr xmlns="http://schemas.microsoft.com/office/spreadsheetml/2009/9/main" objectType="Drop" dropLines="40" dropStyle="combo" dx="22" fmlaLink="scenario_nr" fmlaRange="scenarios" noThreeD="1" sel="11" val="0"/>
</file>

<file path=xl/ctrlProps/ctrlProp101.xml><?xml version="1.0" encoding="utf-8"?>
<formControlPr xmlns="http://schemas.microsoft.com/office/spreadsheetml/2009/9/main" objectType="Drop" dropLines="3" dropStyle="combo" dx="22" fmlaLink="gen_type_nr" fmlaRange="gen_types" noThreeD="1" sel="2" val="0"/>
</file>

<file path=xl/ctrlProps/ctrlProp102.xml><?xml version="1.0" encoding="utf-8"?>
<formControlPr xmlns="http://schemas.microsoft.com/office/spreadsheetml/2009/9/main" objectType="Drop" dropLines="40" dropStyle="combo" dx="22" fmlaLink="scenario_size_nr" fmlaRange="scenario_sizes" noThreeD="1" sel="1" val="0"/>
</file>

<file path=xl/ctrlProps/ctrlProp103.xml><?xml version="1.0" encoding="utf-8"?>
<formControlPr xmlns="http://schemas.microsoft.com/office/spreadsheetml/2009/9/main" objectType="Drop" dropLines="40" dropStyle="combo" dx="22" fmlaLink="P_level_nr" fmlaRange="P_levels" noThreeD="1" sel="1" val="0"/>
</file>

<file path=xl/ctrlProps/ctrlProp104.xml><?xml version="1.0" encoding="utf-8"?>
<formControlPr xmlns="http://schemas.microsoft.com/office/spreadsheetml/2009/9/main" objectType="Drop" dropLines="40" dropStyle="combo" dx="22" fmlaLink="Tp_level_nr" fmlaRange="Tp_levels" noThreeD="1" sel="1" val="0"/>
</file>

<file path=xl/ctrlProps/ctrlProp105.xml><?xml version="1.0" encoding="utf-8"?>
<formControlPr xmlns="http://schemas.microsoft.com/office/spreadsheetml/2009/9/main" objectType="Drop" dropLines="40" dropStyle="combo" dx="22" fmlaLink="Tt_level_nr" fmlaRange="Tt_levels" noThreeD="1" sel="1" val="0"/>
</file>

<file path=xl/ctrlProps/ctrlProp106.xml><?xml version="1.0" encoding="utf-8"?>
<formControlPr xmlns="http://schemas.microsoft.com/office/spreadsheetml/2009/9/main" objectType="Drop" dropLines="40" dropStyle="combo" dx="22" fmlaLink="avg_wind_speed_nr" fmlaRange="avg_wind_speeds" noThreeD="1" sel="1" val="0"/>
</file>

<file path=xl/ctrlProps/ctrlProp107.xml><?xml version="1.0" encoding="utf-8"?>
<formControlPr xmlns="http://schemas.microsoft.com/office/spreadsheetml/2009/9/main" objectType="CheckBox" fmlaLink="offshore_floating" lockText="1" noThreeD="1"/>
</file>

<file path=xl/ctrlProps/ctrlProp108.xml><?xml version="1.0" encoding="utf-8"?>
<formControlPr xmlns="http://schemas.microsoft.com/office/spreadsheetml/2009/9/main" objectType="CheckBox" fmlaLink="offshore" lockText="1" noThreeD="1"/>
</file>

<file path=xl/ctrlProps/ctrlProp109.xml><?xml version="1.0" encoding="utf-8"?>
<formControlPr xmlns="http://schemas.microsoft.com/office/spreadsheetml/2009/9/main" objectType="CheckBox" checked="Checked" fmlaLink="greenfield" lockText="1" noThreeD="1"/>
</file>

<file path=xl/ctrlProps/ctrlProp110.xml><?xml version="1.0" encoding="utf-8"?>
<formControlPr xmlns="http://schemas.microsoft.com/office/spreadsheetml/2009/9/main" objectType="Drop" dropLines="40" dropStyle="combo" dx="22" fmlaLink="park_size_nr" fmlaRange="park_sizes" noThreeD="1" sel="1" val="0"/>
</file>

<file path=xl/ctrlProps/ctrlProp111.xml><?xml version="1.0" encoding="utf-8"?>
<formControlPr xmlns="http://schemas.microsoft.com/office/spreadsheetml/2009/9/main" objectType="Drop" dropLines="40" dropStyle="combo" dx="22" fmlaLink="quantity_nr" fmlaRange="quantities" noThreeD="1" sel="1" val="0"/>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chart" Target="../charts/chart9.xml"/><Relationship Id="rId5" Type="http://schemas.openxmlformats.org/officeDocument/2006/relationships/chart" Target="../charts/chart11.xml"/><Relationship Id="rId4"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5.png"/><Relationship Id="rId5" Type="http://schemas.openxmlformats.org/officeDocument/2006/relationships/chart" Target="../charts/chart15.xml"/><Relationship Id="rId4"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647700</xdr:colOff>
          <xdr:row>34</xdr:row>
          <xdr:rowOff>0</xdr:rowOff>
        </xdr:from>
        <xdr:to>
          <xdr:col>5</xdr:col>
          <xdr:colOff>57150</xdr:colOff>
          <xdr:row>35</xdr:row>
          <xdr:rowOff>28575</xdr:rowOff>
        </xdr:to>
        <xdr:sp macro="" textlink="">
          <xdr:nvSpPr>
            <xdr:cNvPr id="7169" name="Drop Down 1" hidden="1">
              <a:extLst>
                <a:ext uri="{63B3BB69-23CF-44E3-9099-C40C66FF867C}">
                  <a14:compatExt spid="_x0000_s7169"/>
                </a:ext>
                <a:ext uri="{FF2B5EF4-FFF2-40B4-BE49-F238E27FC236}">
                  <a16:creationId xmlns:a16="http://schemas.microsoft.com/office/drawing/2014/main" id="{00000000-0008-0000-02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7</xdr:row>
          <xdr:rowOff>171450</xdr:rowOff>
        </xdr:from>
        <xdr:to>
          <xdr:col>5</xdr:col>
          <xdr:colOff>57150</xdr:colOff>
          <xdr:row>9</xdr:row>
          <xdr:rowOff>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2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7</xdr:row>
          <xdr:rowOff>171450</xdr:rowOff>
        </xdr:from>
        <xdr:to>
          <xdr:col>6</xdr:col>
          <xdr:colOff>752475</xdr:colOff>
          <xdr:row>9</xdr:row>
          <xdr:rowOff>0</xdr:rowOff>
        </xdr:to>
        <xdr:sp macro="" textlink="">
          <xdr:nvSpPr>
            <xdr:cNvPr id="7175" name="Drop Down 7" hidden="1">
              <a:extLst>
                <a:ext uri="{63B3BB69-23CF-44E3-9099-C40C66FF867C}">
                  <a14:compatExt spid="_x0000_s7175"/>
                </a:ext>
                <a:ext uri="{FF2B5EF4-FFF2-40B4-BE49-F238E27FC236}">
                  <a16:creationId xmlns:a16="http://schemas.microsoft.com/office/drawing/2014/main" id="{00000000-0008-0000-0200-000007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657225</xdr:colOff>
          <xdr:row>7</xdr:row>
          <xdr:rowOff>171450</xdr:rowOff>
        </xdr:from>
        <xdr:to>
          <xdr:col>9</xdr:col>
          <xdr:colOff>66675</xdr:colOff>
          <xdr:row>9</xdr:row>
          <xdr:rowOff>0</xdr:rowOff>
        </xdr:to>
        <xdr:sp macro="" textlink="">
          <xdr:nvSpPr>
            <xdr:cNvPr id="7176" name="Drop Down 8" hidden="1">
              <a:extLst>
                <a:ext uri="{63B3BB69-23CF-44E3-9099-C40C66FF867C}">
                  <a14:compatExt spid="_x0000_s7176"/>
                </a:ext>
                <a:ext uri="{FF2B5EF4-FFF2-40B4-BE49-F238E27FC236}">
                  <a16:creationId xmlns:a16="http://schemas.microsoft.com/office/drawing/2014/main" id="{00000000-0008-0000-0200-000008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676275</xdr:colOff>
          <xdr:row>7</xdr:row>
          <xdr:rowOff>171450</xdr:rowOff>
        </xdr:from>
        <xdr:to>
          <xdr:col>13</xdr:col>
          <xdr:colOff>85725</xdr:colOff>
          <xdr:row>9</xdr:row>
          <xdr:rowOff>0</xdr:rowOff>
        </xdr:to>
        <xdr:sp macro="" textlink="">
          <xdr:nvSpPr>
            <xdr:cNvPr id="7177" name="Drop Down 9" hidden="1">
              <a:extLst>
                <a:ext uri="{63B3BB69-23CF-44E3-9099-C40C66FF867C}">
                  <a14:compatExt spid="_x0000_s7177"/>
                </a:ext>
                <a:ext uri="{FF2B5EF4-FFF2-40B4-BE49-F238E27FC236}">
                  <a16:creationId xmlns:a16="http://schemas.microsoft.com/office/drawing/2014/main" id="{00000000-0008-0000-0200-000009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47625</xdr:colOff>
          <xdr:row>7</xdr:row>
          <xdr:rowOff>114300</xdr:rowOff>
        </xdr:from>
        <xdr:to>
          <xdr:col>15</xdr:col>
          <xdr:colOff>57150</xdr:colOff>
          <xdr:row>8</xdr:row>
          <xdr:rowOff>95250</xdr:rowOff>
        </xdr:to>
        <xdr:sp macro="" textlink="">
          <xdr:nvSpPr>
            <xdr:cNvPr id="7178" name="Drop Down 10" hidden="1">
              <a:extLst>
                <a:ext uri="{63B3BB69-23CF-44E3-9099-C40C66FF867C}">
                  <a14:compatExt spid="_x0000_s7178"/>
                </a:ext>
                <a:ext uri="{FF2B5EF4-FFF2-40B4-BE49-F238E27FC236}">
                  <a16:creationId xmlns:a16="http://schemas.microsoft.com/office/drawing/2014/main" id="{00000000-0008-0000-0200-00000A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76200</xdr:colOff>
          <xdr:row>7</xdr:row>
          <xdr:rowOff>114300</xdr:rowOff>
        </xdr:from>
        <xdr:to>
          <xdr:col>18</xdr:col>
          <xdr:colOff>0</xdr:colOff>
          <xdr:row>8</xdr:row>
          <xdr:rowOff>95250</xdr:rowOff>
        </xdr:to>
        <xdr:sp macro="" textlink="">
          <xdr:nvSpPr>
            <xdr:cNvPr id="7180" name="Drop Down 12" hidden="1">
              <a:extLst>
                <a:ext uri="{63B3BB69-23CF-44E3-9099-C40C66FF867C}">
                  <a14:compatExt spid="_x0000_s7180"/>
                </a:ext>
                <a:ext uri="{FF2B5EF4-FFF2-40B4-BE49-F238E27FC236}">
                  <a16:creationId xmlns:a16="http://schemas.microsoft.com/office/drawing/2014/main" id="{00000000-0008-0000-0200-00000C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7</xdr:row>
          <xdr:rowOff>114300</xdr:rowOff>
        </xdr:from>
        <xdr:to>
          <xdr:col>19</xdr:col>
          <xdr:colOff>0</xdr:colOff>
          <xdr:row>8</xdr:row>
          <xdr:rowOff>95250</xdr:rowOff>
        </xdr:to>
        <xdr:sp macro="" textlink="">
          <xdr:nvSpPr>
            <xdr:cNvPr id="7182" name="Drop Down 14" hidden="1">
              <a:extLst>
                <a:ext uri="{63B3BB69-23CF-44E3-9099-C40C66FF867C}">
                  <a14:compatExt spid="_x0000_s7182"/>
                </a:ext>
                <a:ext uri="{FF2B5EF4-FFF2-40B4-BE49-F238E27FC236}">
                  <a16:creationId xmlns:a16="http://schemas.microsoft.com/office/drawing/2014/main" id="{00000000-0008-0000-0200-00000E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76200</xdr:colOff>
          <xdr:row>7</xdr:row>
          <xdr:rowOff>114300</xdr:rowOff>
        </xdr:from>
        <xdr:to>
          <xdr:col>20</xdr:col>
          <xdr:colOff>0</xdr:colOff>
          <xdr:row>8</xdr:row>
          <xdr:rowOff>95250</xdr:rowOff>
        </xdr:to>
        <xdr:sp macro="" textlink="">
          <xdr:nvSpPr>
            <xdr:cNvPr id="7183" name="Drop Down 15" hidden="1">
              <a:extLst>
                <a:ext uri="{63B3BB69-23CF-44E3-9099-C40C66FF867C}">
                  <a14:compatExt spid="_x0000_s7183"/>
                </a:ext>
                <a:ext uri="{FF2B5EF4-FFF2-40B4-BE49-F238E27FC236}">
                  <a16:creationId xmlns:a16="http://schemas.microsoft.com/office/drawing/2014/main" id="{00000000-0008-0000-0200-00000F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676275</xdr:colOff>
          <xdr:row>7</xdr:row>
          <xdr:rowOff>171450</xdr:rowOff>
        </xdr:from>
        <xdr:to>
          <xdr:col>11</xdr:col>
          <xdr:colOff>85725</xdr:colOff>
          <xdr:row>9</xdr:row>
          <xdr:rowOff>0</xdr:rowOff>
        </xdr:to>
        <xdr:sp macro="" textlink="">
          <xdr:nvSpPr>
            <xdr:cNvPr id="7184" name="Drop Down 16" hidden="1">
              <a:extLst>
                <a:ext uri="{63B3BB69-23CF-44E3-9099-C40C66FF867C}">
                  <a14:compatExt spid="_x0000_s7184"/>
                </a:ext>
                <a:ext uri="{FF2B5EF4-FFF2-40B4-BE49-F238E27FC236}">
                  <a16:creationId xmlns:a16="http://schemas.microsoft.com/office/drawing/2014/main" id="{00000000-0008-0000-0200-000010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685800</xdr:colOff>
          <xdr:row>7</xdr:row>
          <xdr:rowOff>114300</xdr:rowOff>
        </xdr:from>
        <xdr:to>
          <xdr:col>21</xdr:col>
          <xdr:colOff>1133475</xdr:colOff>
          <xdr:row>8</xdr:row>
          <xdr:rowOff>95250</xdr:rowOff>
        </xdr:to>
        <xdr:sp macro="" textlink="">
          <xdr:nvSpPr>
            <xdr:cNvPr id="7185" name="Drop Down 17" hidden="1">
              <a:extLst>
                <a:ext uri="{63B3BB69-23CF-44E3-9099-C40C66FF867C}">
                  <a14:compatExt spid="_x0000_s7185"/>
                </a:ext>
                <a:ext uri="{FF2B5EF4-FFF2-40B4-BE49-F238E27FC236}">
                  <a16:creationId xmlns:a16="http://schemas.microsoft.com/office/drawing/2014/main" id="{00000000-0008-0000-0200-00001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57150</xdr:colOff>
          <xdr:row>7</xdr:row>
          <xdr:rowOff>114300</xdr:rowOff>
        </xdr:from>
        <xdr:to>
          <xdr:col>24</xdr:col>
          <xdr:colOff>0</xdr:colOff>
          <xdr:row>8</xdr:row>
          <xdr:rowOff>95250</xdr:rowOff>
        </xdr:to>
        <xdr:sp macro="" textlink="">
          <xdr:nvSpPr>
            <xdr:cNvPr id="7186" name="Drop Down 18" hidden="1">
              <a:extLst>
                <a:ext uri="{63B3BB69-23CF-44E3-9099-C40C66FF867C}">
                  <a14:compatExt spid="_x0000_s7186"/>
                </a:ext>
                <a:ext uri="{FF2B5EF4-FFF2-40B4-BE49-F238E27FC236}">
                  <a16:creationId xmlns:a16="http://schemas.microsoft.com/office/drawing/2014/main" id="{00000000-0008-0000-0200-00001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xdr:row>
          <xdr:rowOff>114300</xdr:rowOff>
        </xdr:from>
        <xdr:to>
          <xdr:col>26</xdr:col>
          <xdr:colOff>0</xdr:colOff>
          <xdr:row>8</xdr:row>
          <xdr:rowOff>95250</xdr:rowOff>
        </xdr:to>
        <xdr:sp macro="" textlink="">
          <xdr:nvSpPr>
            <xdr:cNvPr id="7187" name="Drop Down 19" hidden="1">
              <a:extLst>
                <a:ext uri="{63B3BB69-23CF-44E3-9099-C40C66FF867C}">
                  <a14:compatExt spid="_x0000_s7187"/>
                </a:ext>
                <a:ext uri="{FF2B5EF4-FFF2-40B4-BE49-F238E27FC236}">
                  <a16:creationId xmlns:a16="http://schemas.microsoft.com/office/drawing/2014/main" id="{00000000-0008-0000-0200-00001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95250</xdr:colOff>
          <xdr:row>7</xdr:row>
          <xdr:rowOff>114300</xdr:rowOff>
        </xdr:from>
        <xdr:to>
          <xdr:col>28</xdr:col>
          <xdr:colOff>0</xdr:colOff>
          <xdr:row>8</xdr:row>
          <xdr:rowOff>95250</xdr:rowOff>
        </xdr:to>
        <xdr:sp macro="" textlink="">
          <xdr:nvSpPr>
            <xdr:cNvPr id="7188" name="Drop Down 20" hidden="1">
              <a:extLst>
                <a:ext uri="{63B3BB69-23CF-44E3-9099-C40C66FF867C}">
                  <a14:compatExt spid="_x0000_s7188"/>
                </a:ext>
                <a:ext uri="{FF2B5EF4-FFF2-40B4-BE49-F238E27FC236}">
                  <a16:creationId xmlns:a16="http://schemas.microsoft.com/office/drawing/2014/main" id="{00000000-0008-0000-0200-00001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23</xdr:row>
          <xdr:rowOff>133350</xdr:rowOff>
        </xdr:from>
        <xdr:to>
          <xdr:col>1</xdr:col>
          <xdr:colOff>1123950</xdr:colOff>
          <xdr:row>24</xdr:row>
          <xdr:rowOff>142875</xdr:rowOff>
        </xdr:to>
        <xdr:sp macro="" textlink="">
          <xdr:nvSpPr>
            <xdr:cNvPr id="7189" name="Check Box 21" hidden="1">
              <a:extLst>
                <a:ext uri="{63B3BB69-23CF-44E3-9099-C40C66FF867C}">
                  <a14:compatExt spid="_x0000_s7189"/>
                </a:ext>
                <a:ext uri="{FF2B5EF4-FFF2-40B4-BE49-F238E27FC236}">
                  <a16:creationId xmlns:a16="http://schemas.microsoft.com/office/drawing/2014/main" id="{00000000-0008-0000-0200-000015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Greenfield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123825</xdr:rowOff>
        </xdr:from>
        <xdr:to>
          <xdr:col>1</xdr:col>
          <xdr:colOff>1114425</xdr:colOff>
          <xdr:row>26</xdr:row>
          <xdr:rowOff>133350</xdr:rowOff>
        </xdr:to>
        <xdr:sp macro="" textlink="">
          <xdr:nvSpPr>
            <xdr:cNvPr id="7190" name="Check Box 22" hidden="1">
              <a:extLst>
                <a:ext uri="{63B3BB69-23CF-44E3-9099-C40C66FF867C}">
                  <a14:compatExt spid="_x0000_s7190"/>
                </a:ext>
                <a:ext uri="{FF2B5EF4-FFF2-40B4-BE49-F238E27FC236}">
                  <a16:creationId xmlns:a16="http://schemas.microsoft.com/office/drawing/2014/main" id="{00000000-0008-0000-0200-000016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123825</xdr:rowOff>
        </xdr:from>
        <xdr:to>
          <xdr:col>1</xdr:col>
          <xdr:colOff>1114425</xdr:colOff>
          <xdr:row>28</xdr:row>
          <xdr:rowOff>133350</xdr:rowOff>
        </xdr:to>
        <xdr:sp macro="" textlink="">
          <xdr:nvSpPr>
            <xdr:cNvPr id="7191" name="Check Box 23" hidden="1">
              <a:extLst>
                <a:ext uri="{63B3BB69-23CF-44E3-9099-C40C66FF867C}">
                  <a14:compatExt spid="_x0000_s7191"/>
                </a:ext>
                <a:ext uri="{FF2B5EF4-FFF2-40B4-BE49-F238E27FC236}">
                  <a16:creationId xmlns:a16="http://schemas.microsoft.com/office/drawing/2014/main" id="{00000000-0008-0000-0200-000017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 floating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xdr:row>
          <xdr:rowOff>114300</xdr:rowOff>
        </xdr:from>
        <xdr:to>
          <xdr:col>28</xdr:col>
          <xdr:colOff>47625</xdr:colOff>
          <xdr:row>8</xdr:row>
          <xdr:rowOff>95250</xdr:rowOff>
        </xdr:to>
        <xdr:sp macro="" textlink="">
          <xdr:nvSpPr>
            <xdr:cNvPr id="7192" name="Drop Down 24" hidden="1">
              <a:extLst>
                <a:ext uri="{63B3BB69-23CF-44E3-9099-C40C66FF867C}">
                  <a14:compatExt spid="_x0000_s7192"/>
                </a:ext>
                <a:ext uri="{FF2B5EF4-FFF2-40B4-BE49-F238E27FC236}">
                  <a16:creationId xmlns:a16="http://schemas.microsoft.com/office/drawing/2014/main" id="{00000000-0008-0000-0200-000018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95250</xdr:colOff>
          <xdr:row>7</xdr:row>
          <xdr:rowOff>114300</xdr:rowOff>
        </xdr:from>
        <xdr:to>
          <xdr:col>30</xdr:col>
          <xdr:colOff>0</xdr:colOff>
          <xdr:row>8</xdr:row>
          <xdr:rowOff>95250</xdr:rowOff>
        </xdr:to>
        <xdr:sp macro="" textlink="">
          <xdr:nvSpPr>
            <xdr:cNvPr id="7193" name="Drop Down 25" hidden="1">
              <a:extLst>
                <a:ext uri="{63B3BB69-23CF-44E3-9099-C40C66FF867C}">
                  <a14:compatExt spid="_x0000_s7193"/>
                </a:ext>
                <a:ext uri="{FF2B5EF4-FFF2-40B4-BE49-F238E27FC236}">
                  <a16:creationId xmlns:a16="http://schemas.microsoft.com/office/drawing/2014/main" id="{00000000-0008-0000-0200-000019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95250</xdr:colOff>
          <xdr:row>7</xdr:row>
          <xdr:rowOff>114300</xdr:rowOff>
        </xdr:from>
        <xdr:to>
          <xdr:col>32</xdr:col>
          <xdr:colOff>0</xdr:colOff>
          <xdr:row>8</xdr:row>
          <xdr:rowOff>95250</xdr:rowOff>
        </xdr:to>
        <xdr:sp macro="" textlink="">
          <xdr:nvSpPr>
            <xdr:cNvPr id="7195" name="Drop Down 27" hidden="1">
              <a:extLst>
                <a:ext uri="{63B3BB69-23CF-44E3-9099-C40C66FF867C}">
                  <a14:compatExt spid="_x0000_s7195"/>
                </a:ext>
                <a:ext uri="{FF2B5EF4-FFF2-40B4-BE49-F238E27FC236}">
                  <a16:creationId xmlns:a16="http://schemas.microsoft.com/office/drawing/2014/main" id="{00000000-0008-0000-0200-00001B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xdr:row>
          <xdr:rowOff>114300</xdr:rowOff>
        </xdr:from>
        <xdr:to>
          <xdr:col>32</xdr:col>
          <xdr:colOff>47625</xdr:colOff>
          <xdr:row>8</xdr:row>
          <xdr:rowOff>95250</xdr:rowOff>
        </xdr:to>
        <xdr:sp macro="" textlink="">
          <xdr:nvSpPr>
            <xdr:cNvPr id="7196" name="Drop Down 28" hidden="1">
              <a:extLst>
                <a:ext uri="{63B3BB69-23CF-44E3-9099-C40C66FF867C}">
                  <a14:compatExt spid="_x0000_s7196"/>
                </a:ext>
                <a:ext uri="{FF2B5EF4-FFF2-40B4-BE49-F238E27FC236}">
                  <a16:creationId xmlns:a16="http://schemas.microsoft.com/office/drawing/2014/main" id="{00000000-0008-0000-0200-00001C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95250</xdr:colOff>
          <xdr:row>7</xdr:row>
          <xdr:rowOff>114300</xdr:rowOff>
        </xdr:from>
        <xdr:to>
          <xdr:col>34</xdr:col>
          <xdr:colOff>0</xdr:colOff>
          <xdr:row>8</xdr:row>
          <xdr:rowOff>95250</xdr:rowOff>
        </xdr:to>
        <xdr:sp macro="" textlink="">
          <xdr:nvSpPr>
            <xdr:cNvPr id="7197" name="Drop Down 29" hidden="1">
              <a:extLst>
                <a:ext uri="{63B3BB69-23CF-44E3-9099-C40C66FF867C}">
                  <a14:compatExt spid="_x0000_s7197"/>
                </a:ext>
                <a:ext uri="{FF2B5EF4-FFF2-40B4-BE49-F238E27FC236}">
                  <a16:creationId xmlns:a16="http://schemas.microsoft.com/office/drawing/2014/main" id="{00000000-0008-0000-0200-00001D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95250</xdr:colOff>
          <xdr:row>7</xdr:row>
          <xdr:rowOff>114300</xdr:rowOff>
        </xdr:from>
        <xdr:to>
          <xdr:col>36</xdr:col>
          <xdr:colOff>0</xdr:colOff>
          <xdr:row>8</xdr:row>
          <xdr:rowOff>95250</xdr:rowOff>
        </xdr:to>
        <xdr:sp macro="" textlink="">
          <xdr:nvSpPr>
            <xdr:cNvPr id="7200" name="Drop Down 32" hidden="1">
              <a:extLst>
                <a:ext uri="{63B3BB69-23CF-44E3-9099-C40C66FF867C}">
                  <a14:compatExt spid="_x0000_s7200"/>
                </a:ext>
                <a:ext uri="{FF2B5EF4-FFF2-40B4-BE49-F238E27FC236}">
                  <a16:creationId xmlns:a16="http://schemas.microsoft.com/office/drawing/2014/main" id="{00000000-0008-0000-0200-000020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28575</xdr:colOff>
          <xdr:row>3</xdr:row>
          <xdr:rowOff>47625</xdr:rowOff>
        </xdr:from>
        <xdr:to>
          <xdr:col>3</xdr:col>
          <xdr:colOff>1952625</xdr:colOff>
          <xdr:row>3</xdr:row>
          <xdr:rowOff>247650</xdr:rowOff>
        </xdr:to>
        <xdr:sp macro="" textlink="">
          <xdr:nvSpPr>
            <xdr:cNvPr id="181249" name="Drop Down 1" hidden="1">
              <a:extLst>
                <a:ext uri="{63B3BB69-23CF-44E3-9099-C40C66FF867C}">
                  <a14:compatExt spid="_x0000_s181249"/>
                </a:ext>
                <a:ext uri="{FF2B5EF4-FFF2-40B4-BE49-F238E27FC236}">
                  <a16:creationId xmlns:a16="http://schemas.microsoft.com/office/drawing/2014/main" id="{00000000-0008-0000-0300-000001C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2019300</xdr:colOff>
          <xdr:row>2</xdr:row>
          <xdr:rowOff>95250</xdr:rowOff>
        </xdr:from>
        <xdr:to>
          <xdr:col>5</xdr:col>
          <xdr:colOff>95250</xdr:colOff>
          <xdr:row>3</xdr:row>
          <xdr:rowOff>19050</xdr:rowOff>
        </xdr:to>
        <xdr:sp macro="" textlink="">
          <xdr:nvSpPr>
            <xdr:cNvPr id="181293" name="Check Box 45" hidden="1">
              <a:extLst>
                <a:ext uri="{63B3BB69-23CF-44E3-9099-C40C66FF867C}">
                  <a14:compatExt spid="_x0000_s181293"/>
                </a:ext>
                <a:ext uri="{FF2B5EF4-FFF2-40B4-BE49-F238E27FC236}">
                  <a16:creationId xmlns:a16="http://schemas.microsoft.com/office/drawing/2014/main" id="{00000000-0008-0000-0300-00002D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 floating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1352550</xdr:colOff>
          <xdr:row>2</xdr:row>
          <xdr:rowOff>57150</xdr:rowOff>
        </xdr:from>
        <xdr:to>
          <xdr:col>4</xdr:col>
          <xdr:colOff>9525</xdr:colOff>
          <xdr:row>2</xdr:row>
          <xdr:rowOff>276225</xdr:rowOff>
        </xdr:to>
        <xdr:sp macro="" textlink="">
          <xdr:nvSpPr>
            <xdr:cNvPr id="181294" name="Check Box 46" hidden="1">
              <a:extLst>
                <a:ext uri="{63B3BB69-23CF-44E3-9099-C40C66FF867C}">
                  <a14:compatExt spid="_x0000_s181294"/>
                </a:ext>
                <a:ext uri="{FF2B5EF4-FFF2-40B4-BE49-F238E27FC236}">
                  <a16:creationId xmlns:a16="http://schemas.microsoft.com/office/drawing/2014/main" id="{00000000-0008-0000-0300-00002EC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18</xdr:col>
          <xdr:colOff>57150</xdr:colOff>
          <xdr:row>0</xdr:row>
          <xdr:rowOff>95250</xdr:rowOff>
        </xdr:from>
        <xdr:to>
          <xdr:col>19</xdr:col>
          <xdr:colOff>1447800</xdr:colOff>
          <xdr:row>1</xdr:row>
          <xdr:rowOff>28575</xdr:rowOff>
        </xdr:to>
        <xdr:sp macro="" textlink="">
          <xdr:nvSpPr>
            <xdr:cNvPr id="181296" name="Drop Down 48" hidden="1">
              <a:extLst>
                <a:ext uri="{63B3BB69-23CF-44E3-9099-C40C66FF867C}">
                  <a14:compatExt spid="_x0000_s181296"/>
                </a:ext>
                <a:ext uri="{FF2B5EF4-FFF2-40B4-BE49-F238E27FC236}">
                  <a16:creationId xmlns:a16="http://schemas.microsoft.com/office/drawing/2014/main" id="{00000000-0008-0000-0300-000030C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18</xdr:col>
          <xdr:colOff>38100</xdr:colOff>
          <xdr:row>1</xdr:row>
          <xdr:rowOff>104775</xdr:rowOff>
        </xdr:from>
        <xdr:to>
          <xdr:col>18</xdr:col>
          <xdr:colOff>647700</xdr:colOff>
          <xdr:row>2</xdr:row>
          <xdr:rowOff>95250</xdr:rowOff>
        </xdr:to>
        <xdr:sp macro="" textlink="">
          <xdr:nvSpPr>
            <xdr:cNvPr id="181297" name="Drop Down 49" hidden="1">
              <a:extLst>
                <a:ext uri="{63B3BB69-23CF-44E3-9099-C40C66FF867C}">
                  <a14:compatExt spid="_x0000_s181297"/>
                </a:ext>
                <a:ext uri="{FF2B5EF4-FFF2-40B4-BE49-F238E27FC236}">
                  <a16:creationId xmlns:a16="http://schemas.microsoft.com/office/drawing/2014/main" id="{00000000-0008-0000-0300-000031C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18</xdr:col>
          <xdr:colOff>781050</xdr:colOff>
          <xdr:row>1</xdr:row>
          <xdr:rowOff>95250</xdr:rowOff>
        </xdr:from>
        <xdr:to>
          <xdr:col>19</xdr:col>
          <xdr:colOff>361950</xdr:colOff>
          <xdr:row>2</xdr:row>
          <xdr:rowOff>95250</xdr:rowOff>
        </xdr:to>
        <xdr:sp macro="" textlink="">
          <xdr:nvSpPr>
            <xdr:cNvPr id="181368" name="Drop Down 120" hidden="1">
              <a:extLst>
                <a:ext uri="{63B3BB69-23CF-44E3-9099-C40C66FF867C}">
                  <a14:compatExt spid="_x0000_s181368"/>
                </a:ext>
                <a:ext uri="{FF2B5EF4-FFF2-40B4-BE49-F238E27FC236}">
                  <a16:creationId xmlns:a16="http://schemas.microsoft.com/office/drawing/2014/main" id="{00000000-0008-0000-0300-000078C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3</xdr:col>
          <xdr:colOff>304800</xdr:colOff>
          <xdr:row>1</xdr:row>
          <xdr:rowOff>28575</xdr:rowOff>
        </xdr:from>
        <xdr:to>
          <xdr:col>4</xdr:col>
          <xdr:colOff>723900</xdr:colOff>
          <xdr:row>2</xdr:row>
          <xdr:rowOff>28575</xdr:rowOff>
        </xdr:to>
        <xdr:sp macro="" textlink="">
          <xdr:nvSpPr>
            <xdr:cNvPr id="181423" name="Drop Down 175" hidden="1">
              <a:extLst>
                <a:ext uri="{63B3BB69-23CF-44E3-9099-C40C66FF867C}">
                  <a14:compatExt spid="_x0000_s181423"/>
                </a:ext>
                <a:ext uri="{FF2B5EF4-FFF2-40B4-BE49-F238E27FC236}">
                  <a16:creationId xmlns:a16="http://schemas.microsoft.com/office/drawing/2014/main" id="{00000000-0008-0000-0300-0000AFC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413913</xdr:colOff>
      <xdr:row>2</xdr:row>
      <xdr:rowOff>61311</xdr:rowOff>
    </xdr:from>
    <xdr:to>
      <xdr:col>19</xdr:col>
      <xdr:colOff>601113</xdr:colOff>
      <xdr:row>33</xdr:row>
      <xdr:rowOff>146361</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257175</xdr:colOff>
      <xdr:row>37</xdr:row>
      <xdr:rowOff>104775</xdr:rowOff>
    </xdr:from>
    <xdr:to>
      <xdr:col>19</xdr:col>
      <xdr:colOff>444375</xdr:colOff>
      <xdr:row>69</xdr:row>
      <xdr:rowOff>18375</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600075</xdr:colOff>
          <xdr:row>0</xdr:row>
          <xdr:rowOff>9525</xdr:rowOff>
        </xdr:from>
        <xdr:to>
          <xdr:col>6</xdr:col>
          <xdr:colOff>85725</xdr:colOff>
          <xdr:row>1</xdr:row>
          <xdr:rowOff>38100</xdr:rowOff>
        </xdr:to>
        <xdr:sp macro="" textlink="">
          <xdr:nvSpPr>
            <xdr:cNvPr id="182274" name="Drop Down 2" hidden="1">
              <a:extLst>
                <a:ext uri="{63B3BB69-23CF-44E3-9099-C40C66FF867C}">
                  <a14:compatExt spid="_x0000_s182274"/>
                </a:ext>
                <a:ext uri="{FF2B5EF4-FFF2-40B4-BE49-F238E27FC236}">
                  <a16:creationId xmlns:a16="http://schemas.microsoft.com/office/drawing/2014/main" id="{00000000-0008-0000-0400-000002C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20</xdr:col>
      <xdr:colOff>90063</xdr:colOff>
      <xdr:row>2</xdr:row>
      <xdr:rowOff>89886</xdr:rowOff>
    </xdr:from>
    <xdr:to>
      <xdr:col>38</xdr:col>
      <xdr:colOff>277263</xdr:colOff>
      <xdr:row>34</xdr:row>
      <xdr:rowOff>3486</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0</xdr:col>
          <xdr:colOff>95250</xdr:colOff>
          <xdr:row>2</xdr:row>
          <xdr:rowOff>104775</xdr:rowOff>
        </xdr:from>
        <xdr:to>
          <xdr:col>1</xdr:col>
          <xdr:colOff>714375</xdr:colOff>
          <xdr:row>3</xdr:row>
          <xdr:rowOff>152400</xdr:rowOff>
        </xdr:to>
        <xdr:sp macro="" textlink="">
          <xdr:nvSpPr>
            <xdr:cNvPr id="30843" name="Drop Down 123" hidden="1">
              <a:extLst>
                <a:ext uri="{63B3BB69-23CF-44E3-9099-C40C66FF867C}">
                  <a14:compatExt spid="_x0000_s30843"/>
                </a:ext>
                <a:ext uri="{FF2B5EF4-FFF2-40B4-BE49-F238E27FC236}">
                  <a16:creationId xmlns:a16="http://schemas.microsoft.com/office/drawing/2014/main" id="{00000000-0008-0000-0800-00007B7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762000</xdr:colOff>
          <xdr:row>2</xdr:row>
          <xdr:rowOff>104775</xdr:rowOff>
        </xdr:from>
        <xdr:to>
          <xdr:col>2</xdr:col>
          <xdr:colOff>552450</xdr:colOff>
          <xdr:row>3</xdr:row>
          <xdr:rowOff>152400</xdr:rowOff>
        </xdr:to>
        <xdr:sp macro="" textlink="">
          <xdr:nvSpPr>
            <xdr:cNvPr id="30844" name="Drop Down 124" hidden="1">
              <a:extLst>
                <a:ext uri="{63B3BB69-23CF-44E3-9099-C40C66FF867C}">
                  <a14:compatExt spid="_x0000_s30844"/>
                </a:ext>
                <a:ext uri="{FF2B5EF4-FFF2-40B4-BE49-F238E27FC236}">
                  <a16:creationId xmlns:a16="http://schemas.microsoft.com/office/drawing/2014/main" id="{00000000-0008-0000-0800-00007C7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3</xdr:col>
          <xdr:colOff>819150</xdr:colOff>
          <xdr:row>2</xdr:row>
          <xdr:rowOff>104775</xdr:rowOff>
        </xdr:from>
        <xdr:to>
          <xdr:col>4</xdr:col>
          <xdr:colOff>409575</xdr:colOff>
          <xdr:row>3</xdr:row>
          <xdr:rowOff>152400</xdr:rowOff>
        </xdr:to>
        <xdr:sp macro="" textlink="">
          <xdr:nvSpPr>
            <xdr:cNvPr id="30845" name="Drop Down 125" hidden="1">
              <a:extLst>
                <a:ext uri="{63B3BB69-23CF-44E3-9099-C40C66FF867C}">
                  <a14:compatExt spid="_x0000_s30845"/>
                </a:ext>
                <a:ext uri="{FF2B5EF4-FFF2-40B4-BE49-F238E27FC236}">
                  <a16:creationId xmlns:a16="http://schemas.microsoft.com/office/drawing/2014/main" id="{00000000-0008-0000-0800-00007D7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104775</xdr:colOff>
          <xdr:row>4</xdr:row>
          <xdr:rowOff>47625</xdr:rowOff>
        </xdr:from>
        <xdr:to>
          <xdr:col>0</xdr:col>
          <xdr:colOff>647700</xdr:colOff>
          <xdr:row>5</xdr:row>
          <xdr:rowOff>85725</xdr:rowOff>
        </xdr:to>
        <xdr:sp macro="" textlink="">
          <xdr:nvSpPr>
            <xdr:cNvPr id="30846" name="Drop Down 126" hidden="1">
              <a:extLst>
                <a:ext uri="{63B3BB69-23CF-44E3-9099-C40C66FF867C}">
                  <a14:compatExt spid="_x0000_s30846"/>
                </a:ext>
                <a:ext uri="{FF2B5EF4-FFF2-40B4-BE49-F238E27FC236}">
                  <a16:creationId xmlns:a16="http://schemas.microsoft.com/office/drawing/2014/main" id="{00000000-0008-0000-0800-00007E7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704850</xdr:colOff>
          <xdr:row>4</xdr:row>
          <xdr:rowOff>47625</xdr:rowOff>
        </xdr:from>
        <xdr:to>
          <xdr:col>1</xdr:col>
          <xdr:colOff>609600</xdr:colOff>
          <xdr:row>5</xdr:row>
          <xdr:rowOff>85725</xdr:rowOff>
        </xdr:to>
        <xdr:sp macro="" textlink="">
          <xdr:nvSpPr>
            <xdr:cNvPr id="30847" name="Drop Down 127" hidden="1">
              <a:extLst>
                <a:ext uri="{63B3BB69-23CF-44E3-9099-C40C66FF867C}">
                  <a14:compatExt spid="_x0000_s30847"/>
                </a:ext>
                <a:ext uri="{FF2B5EF4-FFF2-40B4-BE49-F238E27FC236}">
                  <a16:creationId xmlns:a16="http://schemas.microsoft.com/office/drawing/2014/main" id="{00000000-0008-0000-0800-00007F7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676275</xdr:colOff>
          <xdr:row>4</xdr:row>
          <xdr:rowOff>47625</xdr:rowOff>
        </xdr:from>
        <xdr:to>
          <xdr:col>2</xdr:col>
          <xdr:colOff>552450</xdr:colOff>
          <xdr:row>5</xdr:row>
          <xdr:rowOff>85725</xdr:rowOff>
        </xdr:to>
        <xdr:sp macro="" textlink="">
          <xdr:nvSpPr>
            <xdr:cNvPr id="30848" name="Drop Down 128" hidden="1">
              <a:extLst>
                <a:ext uri="{63B3BB69-23CF-44E3-9099-C40C66FF867C}">
                  <a14:compatExt spid="_x0000_s30848"/>
                </a:ext>
                <a:ext uri="{FF2B5EF4-FFF2-40B4-BE49-F238E27FC236}">
                  <a16:creationId xmlns:a16="http://schemas.microsoft.com/office/drawing/2014/main" id="{00000000-0008-0000-0800-0000807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2</xdr:col>
          <xdr:colOff>609600</xdr:colOff>
          <xdr:row>4</xdr:row>
          <xdr:rowOff>47625</xdr:rowOff>
        </xdr:from>
        <xdr:to>
          <xdr:col>3</xdr:col>
          <xdr:colOff>571500</xdr:colOff>
          <xdr:row>5</xdr:row>
          <xdr:rowOff>85725</xdr:rowOff>
        </xdr:to>
        <xdr:sp macro="" textlink="">
          <xdr:nvSpPr>
            <xdr:cNvPr id="30849" name="Drop Down 129" hidden="1">
              <a:extLst>
                <a:ext uri="{63B3BB69-23CF-44E3-9099-C40C66FF867C}">
                  <a14:compatExt spid="_x0000_s30849"/>
                </a:ext>
                <a:ext uri="{FF2B5EF4-FFF2-40B4-BE49-F238E27FC236}">
                  <a16:creationId xmlns:a16="http://schemas.microsoft.com/office/drawing/2014/main" id="{00000000-0008-0000-0800-0000817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142875</xdr:colOff>
          <xdr:row>0</xdr:row>
          <xdr:rowOff>104775</xdr:rowOff>
        </xdr:from>
        <xdr:to>
          <xdr:col>3</xdr:col>
          <xdr:colOff>1104900</xdr:colOff>
          <xdr:row>1</xdr:row>
          <xdr:rowOff>95250</xdr:rowOff>
        </xdr:to>
        <xdr:sp macro="" textlink="">
          <xdr:nvSpPr>
            <xdr:cNvPr id="30850" name="Check Box 130" hidden="1">
              <a:extLst>
                <a:ext uri="{63B3BB69-23CF-44E3-9099-C40C66FF867C}">
                  <a14:compatExt spid="_x0000_s30850"/>
                </a:ext>
                <a:ext uri="{FF2B5EF4-FFF2-40B4-BE49-F238E27FC236}">
                  <a16:creationId xmlns:a16="http://schemas.microsoft.com/office/drawing/2014/main" id="{00000000-0008-0000-0800-000082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 floating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0</xdr:row>
          <xdr:rowOff>85725</xdr:rowOff>
        </xdr:from>
        <xdr:to>
          <xdr:col>3</xdr:col>
          <xdr:colOff>114300</xdr:colOff>
          <xdr:row>1</xdr:row>
          <xdr:rowOff>114300</xdr:rowOff>
        </xdr:to>
        <xdr:sp macro="" textlink="">
          <xdr:nvSpPr>
            <xdr:cNvPr id="30851" name="Check Box 131" hidden="1">
              <a:extLst>
                <a:ext uri="{63B3BB69-23CF-44E3-9099-C40C66FF867C}">
                  <a14:compatExt spid="_x0000_s30851"/>
                </a:ext>
                <a:ext uri="{FF2B5EF4-FFF2-40B4-BE49-F238E27FC236}">
                  <a16:creationId xmlns:a16="http://schemas.microsoft.com/office/drawing/2014/main" id="{00000000-0008-0000-0800-000083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476250</xdr:colOff>
          <xdr:row>0</xdr:row>
          <xdr:rowOff>85725</xdr:rowOff>
        </xdr:from>
        <xdr:to>
          <xdr:col>2</xdr:col>
          <xdr:colOff>104775</xdr:colOff>
          <xdr:row>1</xdr:row>
          <xdr:rowOff>85725</xdr:rowOff>
        </xdr:to>
        <xdr:sp macro="" textlink="">
          <xdr:nvSpPr>
            <xdr:cNvPr id="30852" name="Check Box 132" hidden="1">
              <a:extLst>
                <a:ext uri="{63B3BB69-23CF-44E3-9099-C40C66FF867C}">
                  <a14:compatExt spid="_x0000_s30852"/>
                </a:ext>
                <a:ext uri="{FF2B5EF4-FFF2-40B4-BE49-F238E27FC236}">
                  <a16:creationId xmlns:a16="http://schemas.microsoft.com/office/drawing/2014/main" id="{00000000-0008-0000-0800-000084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Greenfield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647700</xdr:colOff>
          <xdr:row>4</xdr:row>
          <xdr:rowOff>47625</xdr:rowOff>
        </xdr:from>
        <xdr:to>
          <xdr:col>4</xdr:col>
          <xdr:colOff>409575</xdr:colOff>
          <xdr:row>5</xdr:row>
          <xdr:rowOff>85725</xdr:rowOff>
        </xdr:to>
        <xdr:sp macro="" textlink="">
          <xdr:nvSpPr>
            <xdr:cNvPr id="30853" name="Drop Down 133" hidden="1">
              <a:extLst>
                <a:ext uri="{63B3BB69-23CF-44E3-9099-C40C66FF867C}">
                  <a14:compatExt spid="_x0000_s30853"/>
                </a:ext>
                <a:ext uri="{FF2B5EF4-FFF2-40B4-BE49-F238E27FC236}">
                  <a16:creationId xmlns:a16="http://schemas.microsoft.com/office/drawing/2014/main" id="{00000000-0008-0000-0800-0000857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2</xdr:col>
          <xdr:colOff>600075</xdr:colOff>
          <xdr:row>2</xdr:row>
          <xdr:rowOff>104775</xdr:rowOff>
        </xdr:from>
        <xdr:to>
          <xdr:col>3</xdr:col>
          <xdr:colOff>771525</xdr:colOff>
          <xdr:row>3</xdr:row>
          <xdr:rowOff>152400</xdr:rowOff>
        </xdr:to>
        <xdr:sp macro="" textlink="">
          <xdr:nvSpPr>
            <xdr:cNvPr id="30854" name="Drop Down 134" hidden="1">
              <a:extLst>
                <a:ext uri="{63B3BB69-23CF-44E3-9099-C40C66FF867C}">
                  <a14:compatExt spid="_x0000_s30854"/>
                </a:ext>
                <a:ext uri="{FF2B5EF4-FFF2-40B4-BE49-F238E27FC236}">
                  <a16:creationId xmlns:a16="http://schemas.microsoft.com/office/drawing/2014/main" id="{00000000-0008-0000-0800-0000867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133350</xdr:colOff>
          <xdr:row>14</xdr:row>
          <xdr:rowOff>104775</xdr:rowOff>
        </xdr:from>
        <xdr:to>
          <xdr:col>20</xdr:col>
          <xdr:colOff>523875</xdr:colOff>
          <xdr:row>14</xdr:row>
          <xdr:rowOff>276225</xdr:rowOff>
        </xdr:to>
        <xdr:sp macro="" textlink="">
          <xdr:nvSpPr>
            <xdr:cNvPr id="56324" name="Drop Down 4" hidden="1">
              <a:extLst>
                <a:ext uri="{63B3BB69-23CF-44E3-9099-C40C66FF867C}">
                  <a14:compatExt spid="_x0000_s56324"/>
                </a:ext>
                <a:ext uri="{FF2B5EF4-FFF2-40B4-BE49-F238E27FC236}">
                  <a16:creationId xmlns:a16="http://schemas.microsoft.com/office/drawing/2014/main" id="{00000000-0008-0000-0900-000004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15</xdr:row>
          <xdr:rowOff>104775</xdr:rowOff>
        </xdr:from>
        <xdr:to>
          <xdr:col>20</xdr:col>
          <xdr:colOff>523875</xdr:colOff>
          <xdr:row>15</xdr:row>
          <xdr:rowOff>276225</xdr:rowOff>
        </xdr:to>
        <xdr:sp macro="" textlink="">
          <xdr:nvSpPr>
            <xdr:cNvPr id="56325" name="Drop Down 5" hidden="1">
              <a:extLst>
                <a:ext uri="{63B3BB69-23CF-44E3-9099-C40C66FF867C}">
                  <a14:compatExt spid="_x0000_s56325"/>
                </a:ext>
                <a:ext uri="{FF2B5EF4-FFF2-40B4-BE49-F238E27FC236}">
                  <a16:creationId xmlns:a16="http://schemas.microsoft.com/office/drawing/2014/main" id="{00000000-0008-0000-0900-000005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17</xdr:row>
          <xdr:rowOff>104775</xdr:rowOff>
        </xdr:from>
        <xdr:to>
          <xdr:col>20</xdr:col>
          <xdr:colOff>533400</xdr:colOff>
          <xdr:row>18</xdr:row>
          <xdr:rowOff>0</xdr:rowOff>
        </xdr:to>
        <xdr:sp macro="" textlink="">
          <xdr:nvSpPr>
            <xdr:cNvPr id="56326" name="Drop Down 6" hidden="1">
              <a:extLst>
                <a:ext uri="{63B3BB69-23CF-44E3-9099-C40C66FF867C}">
                  <a14:compatExt spid="_x0000_s56326"/>
                </a:ext>
                <a:ext uri="{FF2B5EF4-FFF2-40B4-BE49-F238E27FC236}">
                  <a16:creationId xmlns:a16="http://schemas.microsoft.com/office/drawing/2014/main" id="{00000000-0008-0000-0900-000006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18</xdr:row>
          <xdr:rowOff>104775</xdr:rowOff>
        </xdr:from>
        <xdr:to>
          <xdr:col>20</xdr:col>
          <xdr:colOff>523875</xdr:colOff>
          <xdr:row>18</xdr:row>
          <xdr:rowOff>276225</xdr:rowOff>
        </xdr:to>
        <xdr:sp macro="" textlink="">
          <xdr:nvSpPr>
            <xdr:cNvPr id="56327" name="Drop Down 7" hidden="1">
              <a:extLst>
                <a:ext uri="{63B3BB69-23CF-44E3-9099-C40C66FF867C}">
                  <a14:compatExt spid="_x0000_s56327"/>
                </a:ext>
                <a:ext uri="{FF2B5EF4-FFF2-40B4-BE49-F238E27FC236}">
                  <a16:creationId xmlns:a16="http://schemas.microsoft.com/office/drawing/2014/main" id="{00000000-0008-0000-0900-000007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19</xdr:row>
          <xdr:rowOff>104775</xdr:rowOff>
        </xdr:from>
        <xdr:to>
          <xdr:col>20</xdr:col>
          <xdr:colOff>523875</xdr:colOff>
          <xdr:row>19</xdr:row>
          <xdr:rowOff>276225</xdr:rowOff>
        </xdr:to>
        <xdr:sp macro="" textlink="">
          <xdr:nvSpPr>
            <xdr:cNvPr id="56328" name="Drop Down 8" hidden="1">
              <a:extLst>
                <a:ext uri="{63B3BB69-23CF-44E3-9099-C40C66FF867C}">
                  <a14:compatExt spid="_x0000_s56328"/>
                </a:ext>
                <a:ext uri="{FF2B5EF4-FFF2-40B4-BE49-F238E27FC236}">
                  <a16:creationId xmlns:a16="http://schemas.microsoft.com/office/drawing/2014/main" id="{00000000-0008-0000-0900-000008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8</xdr:row>
          <xdr:rowOff>28575</xdr:rowOff>
        </xdr:from>
        <xdr:to>
          <xdr:col>11</xdr:col>
          <xdr:colOff>209550</xdr:colOff>
          <xdr:row>8</xdr:row>
          <xdr:rowOff>247650</xdr:rowOff>
        </xdr:to>
        <xdr:sp macro="" textlink="">
          <xdr:nvSpPr>
            <xdr:cNvPr id="56329" name="Drop Down 9" hidden="1">
              <a:extLst>
                <a:ext uri="{63B3BB69-23CF-44E3-9099-C40C66FF867C}">
                  <a14:compatExt spid="_x0000_s56329"/>
                </a:ext>
                <a:ext uri="{FF2B5EF4-FFF2-40B4-BE49-F238E27FC236}">
                  <a16:creationId xmlns:a16="http://schemas.microsoft.com/office/drawing/2014/main" id="{00000000-0008-0000-0900-000009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8</xdr:row>
          <xdr:rowOff>28575</xdr:rowOff>
        </xdr:from>
        <xdr:to>
          <xdr:col>16</xdr:col>
          <xdr:colOff>581025</xdr:colOff>
          <xdr:row>8</xdr:row>
          <xdr:rowOff>247650</xdr:rowOff>
        </xdr:to>
        <xdr:sp macro="" textlink="">
          <xdr:nvSpPr>
            <xdr:cNvPr id="56331" name="Drop Down 11" hidden="1">
              <a:extLst>
                <a:ext uri="{63B3BB69-23CF-44E3-9099-C40C66FF867C}">
                  <a14:compatExt spid="_x0000_s56331"/>
                </a:ext>
                <a:ext uri="{FF2B5EF4-FFF2-40B4-BE49-F238E27FC236}">
                  <a16:creationId xmlns:a16="http://schemas.microsoft.com/office/drawing/2014/main" id="{00000000-0008-0000-0900-00000B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314325</xdr:colOff>
          <xdr:row>8</xdr:row>
          <xdr:rowOff>38100</xdr:rowOff>
        </xdr:from>
        <xdr:to>
          <xdr:col>4</xdr:col>
          <xdr:colOff>609600</xdr:colOff>
          <xdr:row>8</xdr:row>
          <xdr:rowOff>257175</xdr:rowOff>
        </xdr:to>
        <xdr:sp macro="" textlink="">
          <xdr:nvSpPr>
            <xdr:cNvPr id="56332" name="Drop Down 12" hidden="1">
              <a:extLst>
                <a:ext uri="{63B3BB69-23CF-44E3-9099-C40C66FF867C}">
                  <a14:compatExt spid="_x0000_s56332"/>
                </a:ext>
                <a:ext uri="{FF2B5EF4-FFF2-40B4-BE49-F238E27FC236}">
                  <a16:creationId xmlns:a16="http://schemas.microsoft.com/office/drawing/2014/main" id="{00000000-0008-0000-0900-00000C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16</xdr:row>
          <xdr:rowOff>104775</xdr:rowOff>
        </xdr:from>
        <xdr:to>
          <xdr:col>20</xdr:col>
          <xdr:colOff>523875</xdr:colOff>
          <xdr:row>16</xdr:row>
          <xdr:rowOff>276225</xdr:rowOff>
        </xdr:to>
        <xdr:sp macro="" textlink="">
          <xdr:nvSpPr>
            <xdr:cNvPr id="56333" name="Drop Down 13" hidden="1">
              <a:extLst>
                <a:ext uri="{63B3BB69-23CF-44E3-9099-C40C66FF867C}">
                  <a14:compatExt spid="_x0000_s56333"/>
                </a:ext>
                <a:ext uri="{FF2B5EF4-FFF2-40B4-BE49-F238E27FC236}">
                  <a16:creationId xmlns:a16="http://schemas.microsoft.com/office/drawing/2014/main" id="{00000000-0008-0000-0900-00000D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21</xdr:row>
          <xdr:rowOff>85725</xdr:rowOff>
        </xdr:from>
        <xdr:to>
          <xdr:col>20</xdr:col>
          <xdr:colOff>523875</xdr:colOff>
          <xdr:row>21</xdr:row>
          <xdr:rowOff>276225</xdr:rowOff>
        </xdr:to>
        <xdr:sp macro="" textlink="">
          <xdr:nvSpPr>
            <xdr:cNvPr id="56334" name="Drop Down 14" hidden="1">
              <a:extLst>
                <a:ext uri="{63B3BB69-23CF-44E3-9099-C40C66FF867C}">
                  <a14:compatExt spid="_x0000_s56334"/>
                </a:ext>
                <a:ext uri="{FF2B5EF4-FFF2-40B4-BE49-F238E27FC236}">
                  <a16:creationId xmlns:a16="http://schemas.microsoft.com/office/drawing/2014/main" id="{00000000-0008-0000-0900-00000E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23</xdr:row>
          <xdr:rowOff>133350</xdr:rowOff>
        </xdr:from>
        <xdr:to>
          <xdr:col>20</xdr:col>
          <xdr:colOff>523875</xdr:colOff>
          <xdr:row>24</xdr:row>
          <xdr:rowOff>19050</xdr:rowOff>
        </xdr:to>
        <xdr:sp macro="" textlink="">
          <xdr:nvSpPr>
            <xdr:cNvPr id="56337" name="Drop Down 17" hidden="1">
              <a:extLst>
                <a:ext uri="{63B3BB69-23CF-44E3-9099-C40C66FF867C}">
                  <a14:compatExt spid="_x0000_s56337"/>
                </a:ext>
                <a:ext uri="{FF2B5EF4-FFF2-40B4-BE49-F238E27FC236}">
                  <a16:creationId xmlns:a16="http://schemas.microsoft.com/office/drawing/2014/main" id="{00000000-0008-0000-0900-000011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24</xdr:row>
          <xdr:rowOff>123825</xdr:rowOff>
        </xdr:from>
        <xdr:to>
          <xdr:col>20</xdr:col>
          <xdr:colOff>523875</xdr:colOff>
          <xdr:row>25</xdr:row>
          <xdr:rowOff>19050</xdr:rowOff>
        </xdr:to>
        <xdr:sp macro="" textlink="">
          <xdr:nvSpPr>
            <xdr:cNvPr id="56338" name="Drop Down 18" hidden="1">
              <a:extLst>
                <a:ext uri="{63B3BB69-23CF-44E3-9099-C40C66FF867C}">
                  <a14:compatExt spid="_x0000_s56338"/>
                </a:ext>
                <a:ext uri="{FF2B5EF4-FFF2-40B4-BE49-F238E27FC236}">
                  <a16:creationId xmlns:a16="http://schemas.microsoft.com/office/drawing/2014/main" id="{00000000-0008-0000-0900-000012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25</xdr:row>
          <xdr:rowOff>114300</xdr:rowOff>
        </xdr:from>
        <xdr:to>
          <xdr:col>20</xdr:col>
          <xdr:colOff>523875</xdr:colOff>
          <xdr:row>25</xdr:row>
          <xdr:rowOff>276225</xdr:rowOff>
        </xdr:to>
        <xdr:sp macro="" textlink="">
          <xdr:nvSpPr>
            <xdr:cNvPr id="56342" name="Drop Down 22" hidden="1">
              <a:extLst>
                <a:ext uri="{63B3BB69-23CF-44E3-9099-C40C66FF867C}">
                  <a14:compatExt spid="_x0000_s56342"/>
                </a:ext>
                <a:ext uri="{FF2B5EF4-FFF2-40B4-BE49-F238E27FC236}">
                  <a16:creationId xmlns:a16="http://schemas.microsoft.com/office/drawing/2014/main" id="{00000000-0008-0000-0900-000016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26</xdr:row>
          <xdr:rowOff>95250</xdr:rowOff>
        </xdr:from>
        <xdr:to>
          <xdr:col>20</xdr:col>
          <xdr:colOff>523875</xdr:colOff>
          <xdr:row>26</xdr:row>
          <xdr:rowOff>276225</xdr:rowOff>
        </xdr:to>
        <xdr:sp macro="" textlink="">
          <xdr:nvSpPr>
            <xdr:cNvPr id="56343" name="Drop Down 23" hidden="1">
              <a:extLst>
                <a:ext uri="{63B3BB69-23CF-44E3-9099-C40C66FF867C}">
                  <a14:compatExt spid="_x0000_s56343"/>
                </a:ext>
                <a:ext uri="{FF2B5EF4-FFF2-40B4-BE49-F238E27FC236}">
                  <a16:creationId xmlns:a16="http://schemas.microsoft.com/office/drawing/2014/main" id="{00000000-0008-0000-0900-000017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22</xdr:row>
          <xdr:rowOff>85725</xdr:rowOff>
        </xdr:from>
        <xdr:to>
          <xdr:col>20</xdr:col>
          <xdr:colOff>523875</xdr:colOff>
          <xdr:row>22</xdr:row>
          <xdr:rowOff>276225</xdr:rowOff>
        </xdr:to>
        <xdr:sp macro="" textlink="">
          <xdr:nvSpPr>
            <xdr:cNvPr id="56348" name="Drop Down 28" hidden="1">
              <a:extLst>
                <a:ext uri="{63B3BB69-23CF-44E3-9099-C40C66FF867C}">
                  <a14:compatExt spid="_x0000_s56348"/>
                </a:ext>
                <a:ext uri="{FF2B5EF4-FFF2-40B4-BE49-F238E27FC236}">
                  <a16:creationId xmlns:a16="http://schemas.microsoft.com/office/drawing/2014/main" id="{00000000-0008-0000-0900-00001C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3</xdr:col>
          <xdr:colOff>619125</xdr:colOff>
          <xdr:row>1</xdr:row>
          <xdr:rowOff>0</xdr:rowOff>
        </xdr:from>
        <xdr:to>
          <xdr:col>6</xdr:col>
          <xdr:colOff>276225</xdr:colOff>
          <xdr:row>1</xdr:row>
          <xdr:rowOff>238125</xdr:rowOff>
        </xdr:to>
        <xdr:sp macro="" textlink="">
          <xdr:nvSpPr>
            <xdr:cNvPr id="56357" name="Drop Down 37" hidden="1">
              <a:extLst>
                <a:ext uri="{63B3BB69-23CF-44E3-9099-C40C66FF867C}">
                  <a14:compatExt spid="_x0000_s56357"/>
                </a:ext>
                <a:ext uri="{FF2B5EF4-FFF2-40B4-BE49-F238E27FC236}">
                  <a16:creationId xmlns:a16="http://schemas.microsoft.com/office/drawing/2014/main" id="{00000000-0008-0000-0900-000025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638175</xdr:colOff>
          <xdr:row>0</xdr:row>
          <xdr:rowOff>0</xdr:rowOff>
        </xdr:from>
        <xdr:to>
          <xdr:col>14</xdr:col>
          <xdr:colOff>352425</xdr:colOff>
          <xdr:row>1</xdr:row>
          <xdr:rowOff>228600</xdr:rowOff>
        </xdr:to>
        <xdr:sp macro="" textlink="">
          <xdr:nvSpPr>
            <xdr:cNvPr id="56358" name="Check Box 38" hidden="1">
              <a:extLst>
                <a:ext uri="{63B3BB69-23CF-44E3-9099-C40C66FF867C}">
                  <a14:compatExt spid="_x0000_s56358"/>
                </a:ext>
                <a:ext uri="{FF2B5EF4-FFF2-40B4-BE49-F238E27FC236}">
                  <a16:creationId xmlns:a16="http://schemas.microsoft.com/office/drawing/2014/main" id="{00000000-0008-0000-0900-00002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 floating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361950</xdr:colOff>
          <xdr:row>0</xdr:row>
          <xdr:rowOff>0</xdr:rowOff>
        </xdr:from>
        <xdr:to>
          <xdr:col>12</xdr:col>
          <xdr:colOff>400050</xdr:colOff>
          <xdr:row>1</xdr:row>
          <xdr:rowOff>219075</xdr:rowOff>
        </xdr:to>
        <xdr:sp macro="" textlink="">
          <xdr:nvSpPr>
            <xdr:cNvPr id="56359" name="Check Box 39" hidden="1">
              <a:extLst>
                <a:ext uri="{63B3BB69-23CF-44E3-9099-C40C66FF867C}">
                  <a14:compatExt spid="_x0000_s56359"/>
                </a:ext>
                <a:ext uri="{FF2B5EF4-FFF2-40B4-BE49-F238E27FC236}">
                  <a16:creationId xmlns:a16="http://schemas.microsoft.com/office/drawing/2014/main" id="{00000000-0008-0000-0900-00002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247650</xdr:colOff>
          <xdr:row>0</xdr:row>
          <xdr:rowOff>0</xdr:rowOff>
        </xdr:from>
        <xdr:to>
          <xdr:col>11</xdr:col>
          <xdr:colOff>314325</xdr:colOff>
          <xdr:row>1</xdr:row>
          <xdr:rowOff>200025</xdr:rowOff>
        </xdr:to>
        <xdr:sp macro="" textlink="">
          <xdr:nvSpPr>
            <xdr:cNvPr id="56360" name="Check Box 40" hidden="1">
              <a:extLst>
                <a:ext uri="{63B3BB69-23CF-44E3-9099-C40C66FF867C}">
                  <a14:compatExt spid="_x0000_s56360"/>
                </a:ext>
                <a:ext uri="{FF2B5EF4-FFF2-40B4-BE49-F238E27FC236}">
                  <a16:creationId xmlns:a16="http://schemas.microsoft.com/office/drawing/2014/main" id="{00000000-0008-0000-0900-00002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Greenfield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133350</xdr:colOff>
          <xdr:row>27</xdr:row>
          <xdr:rowOff>66675</xdr:rowOff>
        </xdr:from>
        <xdr:to>
          <xdr:col>20</xdr:col>
          <xdr:colOff>514350</xdr:colOff>
          <xdr:row>27</xdr:row>
          <xdr:rowOff>238125</xdr:rowOff>
        </xdr:to>
        <xdr:sp macro="" textlink="">
          <xdr:nvSpPr>
            <xdr:cNvPr id="56361" name="Drop Down 41" hidden="1">
              <a:extLst>
                <a:ext uri="{63B3BB69-23CF-44E3-9099-C40C66FF867C}">
                  <a14:compatExt spid="_x0000_s56361"/>
                </a:ext>
                <a:ext uri="{FF2B5EF4-FFF2-40B4-BE49-F238E27FC236}">
                  <a16:creationId xmlns:a16="http://schemas.microsoft.com/office/drawing/2014/main" id="{00000000-0008-0000-0900-000029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666750</xdr:colOff>
          <xdr:row>0</xdr:row>
          <xdr:rowOff>0</xdr:rowOff>
        </xdr:from>
        <xdr:to>
          <xdr:col>9</xdr:col>
          <xdr:colOff>666750</xdr:colOff>
          <xdr:row>1</xdr:row>
          <xdr:rowOff>219075</xdr:rowOff>
        </xdr:to>
        <xdr:sp macro="" textlink="">
          <xdr:nvSpPr>
            <xdr:cNvPr id="56362" name="Drop Down 42" hidden="1">
              <a:extLst>
                <a:ext uri="{63B3BB69-23CF-44E3-9099-C40C66FF867C}">
                  <a14:compatExt spid="_x0000_s56362"/>
                </a:ext>
                <a:ext uri="{FF2B5EF4-FFF2-40B4-BE49-F238E27FC236}">
                  <a16:creationId xmlns:a16="http://schemas.microsoft.com/office/drawing/2014/main" id="{00000000-0008-0000-0900-00002AD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161364</xdr:colOff>
      <xdr:row>80</xdr:row>
      <xdr:rowOff>154640</xdr:rowOff>
    </xdr:from>
    <xdr:to>
      <xdr:col>3</xdr:col>
      <xdr:colOff>542363</xdr:colOff>
      <xdr:row>94</xdr:row>
      <xdr:rowOff>35859</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absolute">
        <xdr:from>
          <xdr:col>0</xdr:col>
          <xdr:colOff>95250</xdr:colOff>
          <xdr:row>2</xdr:row>
          <xdr:rowOff>66675</xdr:rowOff>
        </xdr:from>
        <xdr:to>
          <xdr:col>2</xdr:col>
          <xdr:colOff>381000</xdr:colOff>
          <xdr:row>3</xdr:row>
          <xdr:rowOff>104775</xdr:rowOff>
        </xdr:to>
        <xdr:sp macro="" textlink="">
          <xdr:nvSpPr>
            <xdr:cNvPr id="102425" name="Drop Down 25" hidden="1">
              <a:extLst>
                <a:ext uri="{63B3BB69-23CF-44E3-9099-C40C66FF867C}">
                  <a14:compatExt spid="_x0000_s102425"/>
                </a:ext>
                <a:ext uri="{FF2B5EF4-FFF2-40B4-BE49-F238E27FC236}">
                  <a16:creationId xmlns:a16="http://schemas.microsoft.com/office/drawing/2014/main" id="{00000000-0008-0000-0A00-0000199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2</xdr:col>
          <xdr:colOff>428625</xdr:colOff>
          <xdr:row>2</xdr:row>
          <xdr:rowOff>66675</xdr:rowOff>
        </xdr:from>
        <xdr:to>
          <xdr:col>4</xdr:col>
          <xdr:colOff>171450</xdr:colOff>
          <xdr:row>3</xdr:row>
          <xdr:rowOff>114300</xdr:rowOff>
        </xdr:to>
        <xdr:sp macro="" textlink="">
          <xdr:nvSpPr>
            <xdr:cNvPr id="102426" name="Drop Down 26" hidden="1">
              <a:extLst>
                <a:ext uri="{63B3BB69-23CF-44E3-9099-C40C66FF867C}">
                  <a14:compatExt spid="_x0000_s102426"/>
                </a:ext>
                <a:ext uri="{FF2B5EF4-FFF2-40B4-BE49-F238E27FC236}">
                  <a16:creationId xmlns:a16="http://schemas.microsoft.com/office/drawing/2014/main" id="{00000000-0008-0000-0A00-00001A9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6</xdr:col>
          <xdr:colOff>266700</xdr:colOff>
          <xdr:row>2</xdr:row>
          <xdr:rowOff>66675</xdr:rowOff>
        </xdr:from>
        <xdr:to>
          <xdr:col>7</xdr:col>
          <xdr:colOff>152400</xdr:colOff>
          <xdr:row>3</xdr:row>
          <xdr:rowOff>104775</xdr:rowOff>
        </xdr:to>
        <xdr:sp macro="" textlink="">
          <xdr:nvSpPr>
            <xdr:cNvPr id="102427" name="Drop Down 27" hidden="1">
              <a:extLst>
                <a:ext uri="{63B3BB69-23CF-44E3-9099-C40C66FF867C}">
                  <a14:compatExt spid="_x0000_s102427"/>
                </a:ext>
                <a:ext uri="{FF2B5EF4-FFF2-40B4-BE49-F238E27FC236}">
                  <a16:creationId xmlns:a16="http://schemas.microsoft.com/office/drawing/2014/main" id="{00000000-0008-0000-0A00-00001B9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104775</xdr:colOff>
          <xdr:row>4</xdr:row>
          <xdr:rowOff>19050</xdr:rowOff>
        </xdr:from>
        <xdr:to>
          <xdr:col>1</xdr:col>
          <xdr:colOff>38100</xdr:colOff>
          <xdr:row>5</xdr:row>
          <xdr:rowOff>57150</xdr:rowOff>
        </xdr:to>
        <xdr:sp macro="" textlink="">
          <xdr:nvSpPr>
            <xdr:cNvPr id="102428" name="Drop Down 28" hidden="1">
              <a:extLst>
                <a:ext uri="{63B3BB69-23CF-44E3-9099-C40C66FF867C}">
                  <a14:compatExt spid="_x0000_s102428"/>
                </a:ext>
                <a:ext uri="{FF2B5EF4-FFF2-40B4-BE49-F238E27FC236}">
                  <a16:creationId xmlns:a16="http://schemas.microsoft.com/office/drawing/2014/main" id="{00000000-0008-0000-0A00-00001C9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104775</xdr:colOff>
          <xdr:row>4</xdr:row>
          <xdr:rowOff>19050</xdr:rowOff>
        </xdr:from>
        <xdr:to>
          <xdr:col>2</xdr:col>
          <xdr:colOff>276225</xdr:colOff>
          <xdr:row>5</xdr:row>
          <xdr:rowOff>57150</xdr:rowOff>
        </xdr:to>
        <xdr:sp macro="" textlink="">
          <xdr:nvSpPr>
            <xdr:cNvPr id="102429" name="Drop Down 29" hidden="1">
              <a:extLst>
                <a:ext uri="{63B3BB69-23CF-44E3-9099-C40C66FF867C}">
                  <a14:compatExt spid="_x0000_s102429"/>
                </a:ext>
                <a:ext uri="{FF2B5EF4-FFF2-40B4-BE49-F238E27FC236}">
                  <a16:creationId xmlns:a16="http://schemas.microsoft.com/office/drawing/2014/main" id="{00000000-0008-0000-0A00-00001D9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2</xdr:col>
          <xdr:colOff>342900</xdr:colOff>
          <xdr:row>4</xdr:row>
          <xdr:rowOff>19050</xdr:rowOff>
        </xdr:from>
        <xdr:to>
          <xdr:col>4</xdr:col>
          <xdr:colOff>171450</xdr:colOff>
          <xdr:row>5</xdr:row>
          <xdr:rowOff>57150</xdr:rowOff>
        </xdr:to>
        <xdr:sp macro="" textlink="">
          <xdr:nvSpPr>
            <xdr:cNvPr id="102430" name="Drop Down 30" hidden="1">
              <a:extLst>
                <a:ext uri="{63B3BB69-23CF-44E3-9099-C40C66FF867C}">
                  <a14:compatExt spid="_x0000_s102430"/>
                </a:ext>
                <a:ext uri="{FF2B5EF4-FFF2-40B4-BE49-F238E27FC236}">
                  <a16:creationId xmlns:a16="http://schemas.microsoft.com/office/drawing/2014/main" id="{00000000-0008-0000-0A00-00001E9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4</xdr:col>
          <xdr:colOff>238125</xdr:colOff>
          <xdr:row>4</xdr:row>
          <xdr:rowOff>19050</xdr:rowOff>
        </xdr:from>
        <xdr:to>
          <xdr:col>6</xdr:col>
          <xdr:colOff>19050</xdr:colOff>
          <xdr:row>5</xdr:row>
          <xdr:rowOff>57150</xdr:rowOff>
        </xdr:to>
        <xdr:sp macro="" textlink="">
          <xdr:nvSpPr>
            <xdr:cNvPr id="102431" name="Drop Down 31" hidden="1">
              <a:extLst>
                <a:ext uri="{63B3BB69-23CF-44E3-9099-C40C66FF867C}">
                  <a14:compatExt spid="_x0000_s102431"/>
                </a:ext>
                <a:ext uri="{FF2B5EF4-FFF2-40B4-BE49-F238E27FC236}">
                  <a16:creationId xmlns:a16="http://schemas.microsoft.com/office/drawing/2014/main" id="{00000000-0008-0000-0A00-00001F9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333375</xdr:colOff>
          <xdr:row>4</xdr:row>
          <xdr:rowOff>9525</xdr:rowOff>
        </xdr:from>
        <xdr:to>
          <xdr:col>9</xdr:col>
          <xdr:colOff>828675</xdr:colOff>
          <xdr:row>5</xdr:row>
          <xdr:rowOff>47625</xdr:rowOff>
        </xdr:to>
        <xdr:sp macro="" textlink="">
          <xdr:nvSpPr>
            <xdr:cNvPr id="102432" name="Check Box 32" hidden="1">
              <a:extLst>
                <a:ext uri="{63B3BB69-23CF-44E3-9099-C40C66FF867C}">
                  <a14:compatExt spid="_x0000_s102432"/>
                </a:ext>
                <a:ext uri="{FF2B5EF4-FFF2-40B4-BE49-F238E27FC236}">
                  <a16:creationId xmlns:a16="http://schemas.microsoft.com/office/drawing/2014/main" id="{00000000-0008-0000-0A00-0000209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 floating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333375</xdr:colOff>
          <xdr:row>2</xdr:row>
          <xdr:rowOff>85725</xdr:rowOff>
        </xdr:from>
        <xdr:to>
          <xdr:col>9</xdr:col>
          <xdr:colOff>838200</xdr:colOff>
          <xdr:row>3</xdr:row>
          <xdr:rowOff>123825</xdr:rowOff>
        </xdr:to>
        <xdr:sp macro="" textlink="">
          <xdr:nvSpPr>
            <xdr:cNvPr id="102433" name="Check Box 33" hidden="1">
              <a:extLst>
                <a:ext uri="{63B3BB69-23CF-44E3-9099-C40C66FF867C}">
                  <a14:compatExt spid="_x0000_s102433"/>
                </a:ext>
                <a:ext uri="{FF2B5EF4-FFF2-40B4-BE49-F238E27FC236}">
                  <a16:creationId xmlns:a16="http://schemas.microsoft.com/office/drawing/2014/main" id="{00000000-0008-0000-0A00-0000219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228600</xdr:colOff>
          <xdr:row>2</xdr:row>
          <xdr:rowOff>85725</xdr:rowOff>
        </xdr:from>
        <xdr:to>
          <xdr:col>9</xdr:col>
          <xdr:colOff>95250</xdr:colOff>
          <xdr:row>3</xdr:row>
          <xdr:rowOff>123825</xdr:rowOff>
        </xdr:to>
        <xdr:sp macro="" textlink="">
          <xdr:nvSpPr>
            <xdr:cNvPr id="102434" name="Check Box 34" hidden="1">
              <a:extLst>
                <a:ext uri="{63B3BB69-23CF-44E3-9099-C40C66FF867C}">
                  <a14:compatExt spid="_x0000_s102434"/>
                </a:ext>
                <a:ext uri="{FF2B5EF4-FFF2-40B4-BE49-F238E27FC236}">
                  <a16:creationId xmlns:a16="http://schemas.microsoft.com/office/drawing/2014/main" id="{00000000-0008-0000-0A00-0000229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Greenfield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95250</xdr:colOff>
          <xdr:row>4</xdr:row>
          <xdr:rowOff>19050</xdr:rowOff>
        </xdr:from>
        <xdr:to>
          <xdr:col>7</xdr:col>
          <xdr:colOff>152400</xdr:colOff>
          <xdr:row>5</xdr:row>
          <xdr:rowOff>57150</xdr:rowOff>
        </xdr:to>
        <xdr:sp macro="" textlink="">
          <xdr:nvSpPr>
            <xdr:cNvPr id="102435" name="Drop Down 35" hidden="1">
              <a:extLst>
                <a:ext uri="{63B3BB69-23CF-44E3-9099-C40C66FF867C}">
                  <a14:compatExt spid="_x0000_s102435"/>
                </a:ext>
                <a:ext uri="{FF2B5EF4-FFF2-40B4-BE49-F238E27FC236}">
                  <a16:creationId xmlns:a16="http://schemas.microsoft.com/office/drawing/2014/main" id="{00000000-0008-0000-0A00-0000239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4</xdr:col>
          <xdr:colOff>219075</xdr:colOff>
          <xdr:row>2</xdr:row>
          <xdr:rowOff>66675</xdr:rowOff>
        </xdr:from>
        <xdr:to>
          <xdr:col>6</xdr:col>
          <xdr:colOff>219075</xdr:colOff>
          <xdr:row>3</xdr:row>
          <xdr:rowOff>104775</xdr:rowOff>
        </xdr:to>
        <xdr:sp macro="" textlink="">
          <xdr:nvSpPr>
            <xdr:cNvPr id="102436" name="Drop Down 36" hidden="1">
              <a:extLst>
                <a:ext uri="{63B3BB69-23CF-44E3-9099-C40C66FF867C}">
                  <a14:compatExt spid="_x0000_s102436"/>
                </a:ext>
                <a:ext uri="{FF2B5EF4-FFF2-40B4-BE49-F238E27FC236}">
                  <a16:creationId xmlns:a16="http://schemas.microsoft.com/office/drawing/2014/main" id="{00000000-0008-0000-0A00-0000249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552450</xdr:colOff>
          <xdr:row>0</xdr:row>
          <xdr:rowOff>28575</xdr:rowOff>
        </xdr:from>
        <xdr:to>
          <xdr:col>8</xdr:col>
          <xdr:colOff>400050</xdr:colOff>
          <xdr:row>0</xdr:row>
          <xdr:rowOff>161925</xdr:rowOff>
        </xdr:to>
        <xdr:sp macro="" textlink="">
          <xdr:nvSpPr>
            <xdr:cNvPr id="65537" name="Drop Down 1" hidden="1">
              <a:extLst>
                <a:ext uri="{63B3BB69-23CF-44E3-9099-C40C66FF867C}">
                  <a14:compatExt spid="_x0000_s65537"/>
                </a:ext>
                <a:ext uri="{FF2B5EF4-FFF2-40B4-BE49-F238E27FC236}">
                  <a16:creationId xmlns:a16="http://schemas.microsoft.com/office/drawing/2014/main" id="{00000000-0008-0000-0B00-0000010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4</xdr:col>
          <xdr:colOff>57150</xdr:colOff>
          <xdr:row>1</xdr:row>
          <xdr:rowOff>0</xdr:rowOff>
        </xdr:from>
        <xdr:to>
          <xdr:col>5</xdr:col>
          <xdr:colOff>323850</xdr:colOff>
          <xdr:row>1</xdr:row>
          <xdr:rowOff>180975</xdr:rowOff>
        </xdr:to>
        <xdr:sp macro="" textlink="">
          <xdr:nvSpPr>
            <xdr:cNvPr id="46095" name="Drop Down 15" hidden="1">
              <a:extLst>
                <a:ext uri="{63B3BB69-23CF-44E3-9099-C40C66FF867C}">
                  <a14:compatExt spid="_x0000_s46095"/>
                </a:ext>
                <a:ext uri="{FF2B5EF4-FFF2-40B4-BE49-F238E27FC236}">
                  <a16:creationId xmlns:a16="http://schemas.microsoft.com/office/drawing/2014/main" id="{00000000-0008-0000-0C00-00000FB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457200</xdr:colOff>
          <xdr:row>1</xdr:row>
          <xdr:rowOff>0</xdr:rowOff>
        </xdr:from>
        <xdr:to>
          <xdr:col>7</xdr:col>
          <xdr:colOff>485775</xdr:colOff>
          <xdr:row>1</xdr:row>
          <xdr:rowOff>180975</xdr:rowOff>
        </xdr:to>
        <xdr:sp macro="" textlink="">
          <xdr:nvSpPr>
            <xdr:cNvPr id="46164" name="Drop Down 84" hidden="1">
              <a:extLst>
                <a:ext uri="{63B3BB69-23CF-44E3-9099-C40C66FF867C}">
                  <a14:compatExt spid="_x0000_s46164"/>
                </a:ext>
                <a:ext uri="{FF2B5EF4-FFF2-40B4-BE49-F238E27FC236}">
                  <a16:creationId xmlns:a16="http://schemas.microsoft.com/office/drawing/2014/main" id="{00000000-0008-0000-0C00-000054B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47625</xdr:colOff>
          <xdr:row>2</xdr:row>
          <xdr:rowOff>85725</xdr:rowOff>
        </xdr:from>
        <xdr:to>
          <xdr:col>7</xdr:col>
          <xdr:colOff>466725</xdr:colOff>
          <xdr:row>3</xdr:row>
          <xdr:rowOff>123825</xdr:rowOff>
        </xdr:to>
        <xdr:sp macro="" textlink="">
          <xdr:nvSpPr>
            <xdr:cNvPr id="41155" name="Drop Down 195" hidden="1">
              <a:extLst>
                <a:ext uri="{63B3BB69-23CF-44E3-9099-C40C66FF867C}">
                  <a14:compatExt spid="_x0000_s41155"/>
                </a:ext>
                <a:ext uri="{FF2B5EF4-FFF2-40B4-BE49-F238E27FC236}">
                  <a16:creationId xmlns:a16="http://schemas.microsoft.com/office/drawing/2014/main" id="{00000000-0008-0000-0D00-0000C3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47625</xdr:colOff>
          <xdr:row>4</xdr:row>
          <xdr:rowOff>47625</xdr:rowOff>
        </xdr:from>
        <xdr:to>
          <xdr:col>7</xdr:col>
          <xdr:colOff>342900</xdr:colOff>
          <xdr:row>5</xdr:row>
          <xdr:rowOff>85725</xdr:rowOff>
        </xdr:to>
        <xdr:sp macro="" textlink="">
          <xdr:nvSpPr>
            <xdr:cNvPr id="41159" name="Drop Down 199" hidden="1">
              <a:extLst>
                <a:ext uri="{63B3BB69-23CF-44E3-9099-C40C66FF867C}">
                  <a14:compatExt spid="_x0000_s41159"/>
                </a:ext>
                <a:ext uri="{FF2B5EF4-FFF2-40B4-BE49-F238E27FC236}">
                  <a16:creationId xmlns:a16="http://schemas.microsoft.com/office/drawing/2014/main" id="{00000000-0008-0000-0D00-0000C7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95250</xdr:colOff>
          <xdr:row>2</xdr:row>
          <xdr:rowOff>104775</xdr:rowOff>
        </xdr:from>
        <xdr:to>
          <xdr:col>0</xdr:col>
          <xdr:colOff>1800225</xdr:colOff>
          <xdr:row>3</xdr:row>
          <xdr:rowOff>152400</xdr:rowOff>
        </xdr:to>
        <xdr:sp macro="" textlink="">
          <xdr:nvSpPr>
            <xdr:cNvPr id="41194" name="Drop Down 234" hidden="1">
              <a:extLst>
                <a:ext uri="{63B3BB69-23CF-44E3-9099-C40C66FF867C}">
                  <a14:compatExt spid="_x0000_s41194"/>
                </a:ext>
                <a:ext uri="{FF2B5EF4-FFF2-40B4-BE49-F238E27FC236}">
                  <a16:creationId xmlns:a16="http://schemas.microsoft.com/office/drawing/2014/main" id="{00000000-0008-0000-0D00-0000EA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1847850</xdr:colOff>
          <xdr:row>2</xdr:row>
          <xdr:rowOff>104775</xdr:rowOff>
        </xdr:from>
        <xdr:to>
          <xdr:col>1</xdr:col>
          <xdr:colOff>685800</xdr:colOff>
          <xdr:row>3</xdr:row>
          <xdr:rowOff>152400</xdr:rowOff>
        </xdr:to>
        <xdr:sp macro="" textlink="">
          <xdr:nvSpPr>
            <xdr:cNvPr id="41195" name="Drop Down 235" hidden="1">
              <a:extLst>
                <a:ext uri="{63B3BB69-23CF-44E3-9099-C40C66FF867C}">
                  <a14:compatExt spid="_x0000_s41195"/>
                </a:ext>
                <a:ext uri="{FF2B5EF4-FFF2-40B4-BE49-F238E27FC236}">
                  <a16:creationId xmlns:a16="http://schemas.microsoft.com/office/drawing/2014/main" id="{00000000-0008-0000-0D00-0000EB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2</xdr:col>
          <xdr:colOff>752475</xdr:colOff>
          <xdr:row>2</xdr:row>
          <xdr:rowOff>104775</xdr:rowOff>
        </xdr:from>
        <xdr:to>
          <xdr:col>3</xdr:col>
          <xdr:colOff>638175</xdr:colOff>
          <xdr:row>3</xdr:row>
          <xdr:rowOff>152400</xdr:rowOff>
        </xdr:to>
        <xdr:sp macro="" textlink="">
          <xdr:nvSpPr>
            <xdr:cNvPr id="41196" name="Drop Down 236" hidden="1">
              <a:extLst>
                <a:ext uri="{63B3BB69-23CF-44E3-9099-C40C66FF867C}">
                  <a14:compatExt spid="_x0000_s41196"/>
                </a:ext>
                <a:ext uri="{FF2B5EF4-FFF2-40B4-BE49-F238E27FC236}">
                  <a16:creationId xmlns:a16="http://schemas.microsoft.com/office/drawing/2014/main" id="{00000000-0008-0000-0D00-0000EC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104775</xdr:colOff>
          <xdr:row>4</xdr:row>
          <xdr:rowOff>47625</xdr:rowOff>
        </xdr:from>
        <xdr:to>
          <xdr:col>0</xdr:col>
          <xdr:colOff>647700</xdr:colOff>
          <xdr:row>5</xdr:row>
          <xdr:rowOff>85725</xdr:rowOff>
        </xdr:to>
        <xdr:sp macro="" textlink="">
          <xdr:nvSpPr>
            <xdr:cNvPr id="41197" name="Drop Down 237" hidden="1">
              <a:extLst>
                <a:ext uri="{63B3BB69-23CF-44E3-9099-C40C66FF867C}">
                  <a14:compatExt spid="_x0000_s41197"/>
                </a:ext>
                <a:ext uri="{FF2B5EF4-FFF2-40B4-BE49-F238E27FC236}">
                  <a16:creationId xmlns:a16="http://schemas.microsoft.com/office/drawing/2014/main" id="{00000000-0008-0000-0D00-0000ED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704850</xdr:colOff>
          <xdr:row>4</xdr:row>
          <xdr:rowOff>47625</xdr:rowOff>
        </xdr:from>
        <xdr:to>
          <xdr:col>0</xdr:col>
          <xdr:colOff>1695450</xdr:colOff>
          <xdr:row>5</xdr:row>
          <xdr:rowOff>85725</xdr:rowOff>
        </xdr:to>
        <xdr:sp macro="" textlink="">
          <xdr:nvSpPr>
            <xdr:cNvPr id="41198" name="Drop Down 238" hidden="1">
              <a:extLst>
                <a:ext uri="{63B3BB69-23CF-44E3-9099-C40C66FF867C}">
                  <a14:compatExt spid="_x0000_s41198"/>
                </a:ext>
                <a:ext uri="{FF2B5EF4-FFF2-40B4-BE49-F238E27FC236}">
                  <a16:creationId xmlns:a16="http://schemas.microsoft.com/office/drawing/2014/main" id="{00000000-0008-0000-0D00-0000EE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1762125</xdr:colOff>
          <xdr:row>4</xdr:row>
          <xdr:rowOff>47625</xdr:rowOff>
        </xdr:from>
        <xdr:to>
          <xdr:col>1</xdr:col>
          <xdr:colOff>685800</xdr:colOff>
          <xdr:row>5</xdr:row>
          <xdr:rowOff>85725</xdr:rowOff>
        </xdr:to>
        <xdr:sp macro="" textlink="">
          <xdr:nvSpPr>
            <xdr:cNvPr id="41199" name="Drop Down 239" hidden="1">
              <a:extLst>
                <a:ext uri="{63B3BB69-23CF-44E3-9099-C40C66FF867C}">
                  <a14:compatExt spid="_x0000_s41199"/>
                </a:ext>
                <a:ext uri="{FF2B5EF4-FFF2-40B4-BE49-F238E27FC236}">
                  <a16:creationId xmlns:a16="http://schemas.microsoft.com/office/drawing/2014/main" id="{00000000-0008-0000-0D00-0000EF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742950</xdr:colOff>
          <xdr:row>4</xdr:row>
          <xdr:rowOff>47625</xdr:rowOff>
        </xdr:from>
        <xdr:to>
          <xdr:col>2</xdr:col>
          <xdr:colOff>504825</xdr:colOff>
          <xdr:row>5</xdr:row>
          <xdr:rowOff>85725</xdr:rowOff>
        </xdr:to>
        <xdr:sp macro="" textlink="">
          <xdr:nvSpPr>
            <xdr:cNvPr id="41200" name="Drop Down 240" hidden="1">
              <a:extLst>
                <a:ext uri="{63B3BB69-23CF-44E3-9099-C40C66FF867C}">
                  <a14:compatExt spid="_x0000_s41200"/>
                </a:ext>
                <a:ext uri="{FF2B5EF4-FFF2-40B4-BE49-F238E27FC236}">
                  <a16:creationId xmlns:a16="http://schemas.microsoft.com/office/drawing/2014/main" id="{00000000-0008-0000-0D00-0000F0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352425</xdr:colOff>
          <xdr:row>4</xdr:row>
          <xdr:rowOff>47625</xdr:rowOff>
        </xdr:from>
        <xdr:to>
          <xdr:col>6</xdr:col>
          <xdr:colOff>9525</xdr:colOff>
          <xdr:row>5</xdr:row>
          <xdr:rowOff>85725</xdr:rowOff>
        </xdr:to>
        <xdr:sp macro="" textlink="">
          <xdr:nvSpPr>
            <xdr:cNvPr id="41201" name="Check Box 241" hidden="1">
              <a:extLst>
                <a:ext uri="{63B3BB69-23CF-44E3-9099-C40C66FF867C}">
                  <a14:compatExt spid="_x0000_s41201"/>
                </a:ext>
                <a:ext uri="{FF2B5EF4-FFF2-40B4-BE49-F238E27FC236}">
                  <a16:creationId xmlns:a16="http://schemas.microsoft.com/office/drawing/2014/main" id="{00000000-0008-0000-0D00-0000F1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 floating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352425</xdr:colOff>
          <xdr:row>2</xdr:row>
          <xdr:rowOff>104775</xdr:rowOff>
        </xdr:from>
        <xdr:to>
          <xdr:col>6</xdr:col>
          <xdr:colOff>19050</xdr:colOff>
          <xdr:row>3</xdr:row>
          <xdr:rowOff>142875</xdr:rowOff>
        </xdr:to>
        <xdr:sp macro="" textlink="">
          <xdr:nvSpPr>
            <xdr:cNvPr id="41202" name="Check Box 242" hidden="1">
              <a:extLst>
                <a:ext uri="{63B3BB69-23CF-44E3-9099-C40C66FF867C}">
                  <a14:compatExt spid="_x0000_s41202"/>
                </a:ext>
                <a:ext uri="{FF2B5EF4-FFF2-40B4-BE49-F238E27FC236}">
                  <a16:creationId xmlns:a16="http://schemas.microsoft.com/office/drawing/2014/main" id="{00000000-0008-0000-0D00-0000F2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2</xdr:row>
          <xdr:rowOff>104775</xdr:rowOff>
        </xdr:from>
        <xdr:to>
          <xdr:col>4</xdr:col>
          <xdr:colOff>647700</xdr:colOff>
          <xdr:row>3</xdr:row>
          <xdr:rowOff>142875</xdr:rowOff>
        </xdr:to>
        <xdr:sp macro="" textlink="">
          <xdr:nvSpPr>
            <xdr:cNvPr id="41203" name="Check Box 243" hidden="1">
              <a:extLst>
                <a:ext uri="{63B3BB69-23CF-44E3-9099-C40C66FF867C}">
                  <a14:compatExt spid="_x0000_s41203"/>
                </a:ext>
                <a:ext uri="{FF2B5EF4-FFF2-40B4-BE49-F238E27FC236}">
                  <a16:creationId xmlns:a16="http://schemas.microsoft.com/office/drawing/2014/main" id="{00000000-0008-0000-0D00-0000F3A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Greenfield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581025</xdr:colOff>
          <xdr:row>4</xdr:row>
          <xdr:rowOff>47625</xdr:rowOff>
        </xdr:from>
        <xdr:to>
          <xdr:col>3</xdr:col>
          <xdr:colOff>638175</xdr:colOff>
          <xdr:row>5</xdr:row>
          <xdr:rowOff>85725</xdr:rowOff>
        </xdr:to>
        <xdr:sp macro="" textlink="">
          <xdr:nvSpPr>
            <xdr:cNvPr id="41204" name="Drop Down 244" hidden="1">
              <a:extLst>
                <a:ext uri="{63B3BB69-23CF-44E3-9099-C40C66FF867C}">
                  <a14:compatExt spid="_x0000_s41204"/>
                </a:ext>
                <a:ext uri="{FF2B5EF4-FFF2-40B4-BE49-F238E27FC236}">
                  <a16:creationId xmlns:a16="http://schemas.microsoft.com/office/drawing/2014/main" id="{00000000-0008-0000-0D00-0000F4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733425</xdr:colOff>
          <xdr:row>2</xdr:row>
          <xdr:rowOff>104775</xdr:rowOff>
        </xdr:from>
        <xdr:to>
          <xdr:col>2</xdr:col>
          <xdr:colOff>704850</xdr:colOff>
          <xdr:row>3</xdr:row>
          <xdr:rowOff>152400</xdr:rowOff>
        </xdr:to>
        <xdr:sp macro="" textlink="">
          <xdr:nvSpPr>
            <xdr:cNvPr id="41205" name="Drop Down 245" hidden="1">
              <a:extLst>
                <a:ext uri="{63B3BB69-23CF-44E3-9099-C40C66FF867C}">
                  <a14:compatExt spid="_x0000_s41205"/>
                </a:ext>
                <a:ext uri="{FF2B5EF4-FFF2-40B4-BE49-F238E27FC236}">
                  <a16:creationId xmlns:a16="http://schemas.microsoft.com/office/drawing/2014/main" id="{00000000-0008-0000-0D00-0000F5A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absoluteAnchor>
    <xdr:pos x="0" y="0"/>
    <xdr:ext cx="9299408" cy="6065921"/>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xdr:wsDr xmlns:xdr="http://schemas.openxmlformats.org/drawingml/2006/spreadsheetDrawing" xmlns:a="http://schemas.openxmlformats.org/drawingml/2006/main">
  <xdr:twoCellAnchor editAs="oneCell">
    <xdr:from>
      <xdr:col>8</xdr:col>
      <xdr:colOff>148867</xdr:colOff>
      <xdr:row>33</xdr:row>
      <xdr:rowOff>140493</xdr:rowOff>
    </xdr:from>
    <xdr:to>
      <xdr:col>17</xdr:col>
      <xdr:colOff>367180</xdr:colOff>
      <xdr:row>60</xdr:row>
      <xdr:rowOff>33817</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58379</xdr:colOff>
      <xdr:row>0</xdr:row>
      <xdr:rowOff>72346</xdr:rowOff>
    </xdr:from>
    <xdr:to>
      <xdr:col>22</xdr:col>
      <xdr:colOff>276693</xdr:colOff>
      <xdr:row>24</xdr:row>
      <xdr:rowOff>130771</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684971</xdr:colOff>
      <xdr:row>121</xdr:row>
      <xdr:rowOff>82507</xdr:rowOff>
    </xdr:from>
    <xdr:to>
      <xdr:col>4</xdr:col>
      <xdr:colOff>197723</xdr:colOff>
      <xdr:row>143</xdr:row>
      <xdr:rowOff>131597</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3"/>
        <a:stretch>
          <a:fillRect/>
        </a:stretch>
      </xdr:blipFill>
      <xdr:spPr>
        <a:xfrm>
          <a:off x="684971" y="23475907"/>
          <a:ext cx="6672377" cy="424009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57150</xdr:colOff>
          <xdr:row>4</xdr:row>
          <xdr:rowOff>57150</xdr:rowOff>
        </xdr:from>
        <xdr:to>
          <xdr:col>4</xdr:col>
          <xdr:colOff>0</xdr:colOff>
          <xdr:row>4</xdr:row>
          <xdr:rowOff>238125</xdr:rowOff>
        </xdr:to>
        <xdr:sp macro="" textlink="">
          <xdr:nvSpPr>
            <xdr:cNvPr id="60421" name="Drop Down 5" hidden="1">
              <a:extLst>
                <a:ext uri="{63B3BB69-23CF-44E3-9099-C40C66FF867C}">
                  <a14:compatExt spid="_x0000_s60421"/>
                </a:ext>
                <a:ext uri="{FF2B5EF4-FFF2-40B4-BE49-F238E27FC236}">
                  <a16:creationId xmlns:a16="http://schemas.microsoft.com/office/drawing/2014/main" id="{00000000-0008-0000-0F00-000005E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xdr:row>
          <xdr:rowOff>47625</xdr:rowOff>
        </xdr:from>
        <xdr:to>
          <xdr:col>3</xdr:col>
          <xdr:colOff>895350</xdr:colOff>
          <xdr:row>2</xdr:row>
          <xdr:rowOff>228600</xdr:rowOff>
        </xdr:to>
        <xdr:sp macro="" textlink="">
          <xdr:nvSpPr>
            <xdr:cNvPr id="60422" name="Drop Down 6" hidden="1">
              <a:extLst>
                <a:ext uri="{63B3BB69-23CF-44E3-9099-C40C66FF867C}">
                  <a14:compatExt spid="_x0000_s60422"/>
                </a:ext>
                <a:ext uri="{FF2B5EF4-FFF2-40B4-BE49-F238E27FC236}">
                  <a16:creationId xmlns:a16="http://schemas.microsoft.com/office/drawing/2014/main" id="{00000000-0008-0000-0F00-000006E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3</xdr:row>
          <xdr:rowOff>57150</xdr:rowOff>
        </xdr:from>
        <xdr:to>
          <xdr:col>4</xdr:col>
          <xdr:colOff>0</xdr:colOff>
          <xdr:row>3</xdr:row>
          <xdr:rowOff>228600</xdr:rowOff>
        </xdr:to>
        <xdr:sp macro="" textlink="">
          <xdr:nvSpPr>
            <xdr:cNvPr id="60423" name="Drop Down 7" hidden="1">
              <a:extLst>
                <a:ext uri="{63B3BB69-23CF-44E3-9099-C40C66FF867C}">
                  <a14:compatExt spid="_x0000_s60423"/>
                </a:ext>
                <a:ext uri="{FF2B5EF4-FFF2-40B4-BE49-F238E27FC236}">
                  <a16:creationId xmlns:a16="http://schemas.microsoft.com/office/drawing/2014/main" id="{00000000-0008-0000-0F00-000007E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1406336</xdr:colOff>
      <xdr:row>139</xdr:row>
      <xdr:rowOff>64155</xdr:rowOff>
    </xdr:from>
    <xdr:to>
      <xdr:col>8</xdr:col>
      <xdr:colOff>846042</xdr:colOff>
      <xdr:row>153</xdr:row>
      <xdr:rowOff>140355</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57150</xdr:colOff>
          <xdr:row>15</xdr:row>
          <xdr:rowOff>19050</xdr:rowOff>
        </xdr:from>
        <xdr:to>
          <xdr:col>5</xdr:col>
          <xdr:colOff>438150</xdr:colOff>
          <xdr:row>15</xdr:row>
          <xdr:rowOff>180975</xdr:rowOff>
        </xdr:to>
        <xdr:sp macro="" textlink="">
          <xdr:nvSpPr>
            <xdr:cNvPr id="89093" name="Button 5" hidden="1">
              <a:extLst>
                <a:ext uri="{63B3BB69-23CF-44E3-9099-C40C66FF867C}">
                  <a14:compatExt spid="_x0000_s89093"/>
                </a:ext>
                <a:ext uri="{FF2B5EF4-FFF2-40B4-BE49-F238E27FC236}">
                  <a16:creationId xmlns:a16="http://schemas.microsoft.com/office/drawing/2014/main" id="{00000000-0008-0000-1000-0000055C0100}"/>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en-GB" sz="1000" b="0" i="0" u="none" strike="noStrike" baseline="0">
                  <a:solidFill>
                    <a:srgbClr val="000000"/>
                  </a:solidFill>
                  <a:latin typeface="Nunito Light"/>
                </a:rPr>
                <a:t>Solve for LCOE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xdr:row>
          <xdr:rowOff>19050</xdr:rowOff>
        </xdr:from>
        <xdr:to>
          <xdr:col>5</xdr:col>
          <xdr:colOff>438150</xdr:colOff>
          <xdr:row>16</xdr:row>
          <xdr:rowOff>180975</xdr:rowOff>
        </xdr:to>
        <xdr:sp macro="" textlink="">
          <xdr:nvSpPr>
            <xdr:cNvPr id="89094" name="Button 6" hidden="1">
              <a:extLst>
                <a:ext uri="{63B3BB69-23CF-44E3-9099-C40C66FF867C}">
                  <a14:compatExt spid="_x0000_s89094"/>
                </a:ext>
                <a:ext uri="{FF2B5EF4-FFF2-40B4-BE49-F238E27FC236}">
                  <a16:creationId xmlns:a16="http://schemas.microsoft.com/office/drawing/2014/main" id="{00000000-0008-0000-1000-0000065C0100}"/>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en-GB" sz="1000" b="0" i="0" u="none" strike="noStrike" baseline="0">
                  <a:solidFill>
                    <a:srgbClr val="000000"/>
                  </a:solidFill>
                  <a:latin typeface="Nunito Light"/>
                </a:rPr>
                <a:t>Solve for C.F.</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28575</xdr:rowOff>
        </xdr:from>
        <xdr:to>
          <xdr:col>5</xdr:col>
          <xdr:colOff>438150</xdr:colOff>
          <xdr:row>17</xdr:row>
          <xdr:rowOff>190500</xdr:rowOff>
        </xdr:to>
        <xdr:sp macro="" textlink="">
          <xdr:nvSpPr>
            <xdr:cNvPr id="89095" name="Button 7" hidden="1">
              <a:extLst>
                <a:ext uri="{63B3BB69-23CF-44E3-9099-C40C66FF867C}">
                  <a14:compatExt spid="_x0000_s89095"/>
                </a:ext>
                <a:ext uri="{FF2B5EF4-FFF2-40B4-BE49-F238E27FC236}">
                  <a16:creationId xmlns:a16="http://schemas.microsoft.com/office/drawing/2014/main" id="{00000000-0008-0000-1000-0000075C0100}"/>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en-GB" sz="1000" b="0" i="0" u="none" strike="noStrike" baseline="0">
                  <a:solidFill>
                    <a:srgbClr val="000000"/>
                  </a:solidFill>
                  <a:latin typeface="Nunito Light"/>
                </a:rPr>
                <a:t>Solve for AEP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0</xdr:col>
          <xdr:colOff>95250</xdr:colOff>
          <xdr:row>2</xdr:row>
          <xdr:rowOff>57150</xdr:rowOff>
        </xdr:from>
        <xdr:to>
          <xdr:col>1</xdr:col>
          <xdr:colOff>1209675</xdr:colOff>
          <xdr:row>3</xdr:row>
          <xdr:rowOff>95250</xdr:rowOff>
        </xdr:to>
        <xdr:sp macro="" textlink="">
          <xdr:nvSpPr>
            <xdr:cNvPr id="89112" name="Drop Down 24" hidden="1">
              <a:extLst>
                <a:ext uri="{63B3BB69-23CF-44E3-9099-C40C66FF867C}">
                  <a14:compatExt spid="_x0000_s89112"/>
                </a:ext>
                <a:ext uri="{FF2B5EF4-FFF2-40B4-BE49-F238E27FC236}">
                  <a16:creationId xmlns:a16="http://schemas.microsoft.com/office/drawing/2014/main" id="{00000000-0008-0000-1000-000018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2</xdr:col>
          <xdr:colOff>0</xdr:colOff>
          <xdr:row>2</xdr:row>
          <xdr:rowOff>38100</xdr:rowOff>
        </xdr:from>
        <xdr:to>
          <xdr:col>3</xdr:col>
          <xdr:colOff>276225</xdr:colOff>
          <xdr:row>3</xdr:row>
          <xdr:rowOff>85725</xdr:rowOff>
        </xdr:to>
        <xdr:sp macro="" textlink="">
          <xdr:nvSpPr>
            <xdr:cNvPr id="89113" name="Drop Down 25" hidden="1">
              <a:extLst>
                <a:ext uri="{63B3BB69-23CF-44E3-9099-C40C66FF867C}">
                  <a14:compatExt spid="_x0000_s89113"/>
                </a:ext>
                <a:ext uri="{FF2B5EF4-FFF2-40B4-BE49-F238E27FC236}">
                  <a16:creationId xmlns:a16="http://schemas.microsoft.com/office/drawing/2014/main" id="{00000000-0008-0000-1000-000019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5</xdr:col>
          <xdr:colOff>19050</xdr:colOff>
          <xdr:row>2</xdr:row>
          <xdr:rowOff>57150</xdr:rowOff>
        </xdr:from>
        <xdr:to>
          <xdr:col>6</xdr:col>
          <xdr:colOff>95250</xdr:colOff>
          <xdr:row>3</xdr:row>
          <xdr:rowOff>95250</xdr:rowOff>
        </xdr:to>
        <xdr:sp macro="" textlink="">
          <xdr:nvSpPr>
            <xdr:cNvPr id="89114" name="Drop Down 26" hidden="1">
              <a:extLst>
                <a:ext uri="{63B3BB69-23CF-44E3-9099-C40C66FF867C}">
                  <a14:compatExt spid="_x0000_s89114"/>
                </a:ext>
                <a:ext uri="{FF2B5EF4-FFF2-40B4-BE49-F238E27FC236}">
                  <a16:creationId xmlns:a16="http://schemas.microsoft.com/office/drawing/2014/main" id="{00000000-0008-0000-1000-00001A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104775</xdr:colOff>
          <xdr:row>4</xdr:row>
          <xdr:rowOff>9525</xdr:rowOff>
        </xdr:from>
        <xdr:to>
          <xdr:col>1</xdr:col>
          <xdr:colOff>47625</xdr:colOff>
          <xdr:row>5</xdr:row>
          <xdr:rowOff>47625</xdr:rowOff>
        </xdr:to>
        <xdr:sp macro="" textlink="">
          <xdr:nvSpPr>
            <xdr:cNvPr id="89115" name="Drop Down 27" hidden="1">
              <a:extLst>
                <a:ext uri="{63B3BB69-23CF-44E3-9099-C40C66FF867C}">
                  <a14:compatExt spid="_x0000_s89115"/>
                </a:ext>
                <a:ext uri="{FF2B5EF4-FFF2-40B4-BE49-F238E27FC236}">
                  <a16:creationId xmlns:a16="http://schemas.microsoft.com/office/drawing/2014/main" id="{00000000-0008-0000-1000-00001B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104775</xdr:colOff>
          <xdr:row>4</xdr:row>
          <xdr:rowOff>9525</xdr:rowOff>
        </xdr:from>
        <xdr:to>
          <xdr:col>1</xdr:col>
          <xdr:colOff>1095375</xdr:colOff>
          <xdr:row>5</xdr:row>
          <xdr:rowOff>47625</xdr:rowOff>
        </xdr:to>
        <xdr:sp macro="" textlink="">
          <xdr:nvSpPr>
            <xdr:cNvPr id="89116" name="Drop Down 28" hidden="1">
              <a:extLst>
                <a:ext uri="{63B3BB69-23CF-44E3-9099-C40C66FF867C}">
                  <a14:compatExt spid="_x0000_s89116"/>
                </a:ext>
                <a:ext uri="{FF2B5EF4-FFF2-40B4-BE49-F238E27FC236}">
                  <a16:creationId xmlns:a16="http://schemas.microsoft.com/office/drawing/2014/main" id="{00000000-0008-0000-1000-00001C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1143000</xdr:colOff>
          <xdr:row>4</xdr:row>
          <xdr:rowOff>0</xdr:rowOff>
        </xdr:from>
        <xdr:to>
          <xdr:col>3</xdr:col>
          <xdr:colOff>228600</xdr:colOff>
          <xdr:row>5</xdr:row>
          <xdr:rowOff>38100</xdr:rowOff>
        </xdr:to>
        <xdr:sp macro="" textlink="">
          <xdr:nvSpPr>
            <xdr:cNvPr id="89117" name="Drop Down 29" hidden="1">
              <a:extLst>
                <a:ext uri="{63B3BB69-23CF-44E3-9099-C40C66FF867C}">
                  <a14:compatExt spid="_x0000_s89117"/>
                </a:ext>
                <a:ext uri="{FF2B5EF4-FFF2-40B4-BE49-F238E27FC236}">
                  <a16:creationId xmlns:a16="http://schemas.microsoft.com/office/drawing/2014/main" id="{00000000-0008-0000-1000-00001D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3</xdr:col>
          <xdr:colOff>304800</xdr:colOff>
          <xdr:row>4</xdr:row>
          <xdr:rowOff>0</xdr:rowOff>
        </xdr:from>
        <xdr:to>
          <xdr:col>4</xdr:col>
          <xdr:colOff>342900</xdr:colOff>
          <xdr:row>5</xdr:row>
          <xdr:rowOff>38100</xdr:rowOff>
        </xdr:to>
        <xdr:sp macro="" textlink="">
          <xdr:nvSpPr>
            <xdr:cNvPr id="89118" name="Drop Down 30" hidden="1">
              <a:extLst>
                <a:ext uri="{63B3BB69-23CF-44E3-9099-C40C66FF867C}">
                  <a14:compatExt spid="_x0000_s89118"/>
                </a:ext>
                <a:ext uri="{FF2B5EF4-FFF2-40B4-BE49-F238E27FC236}">
                  <a16:creationId xmlns:a16="http://schemas.microsoft.com/office/drawing/2014/main" id="{00000000-0008-0000-1000-00001E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4</xdr:row>
          <xdr:rowOff>0</xdr:rowOff>
        </xdr:from>
        <xdr:to>
          <xdr:col>8</xdr:col>
          <xdr:colOff>609600</xdr:colOff>
          <xdr:row>5</xdr:row>
          <xdr:rowOff>38100</xdr:rowOff>
        </xdr:to>
        <xdr:sp macro="" textlink="">
          <xdr:nvSpPr>
            <xdr:cNvPr id="89119" name="Check Box 31" hidden="1">
              <a:extLst>
                <a:ext uri="{63B3BB69-23CF-44E3-9099-C40C66FF867C}">
                  <a14:compatExt spid="_x0000_s89119"/>
                </a:ext>
                <a:ext uri="{FF2B5EF4-FFF2-40B4-BE49-F238E27FC236}">
                  <a16:creationId xmlns:a16="http://schemas.microsoft.com/office/drawing/2014/main" id="{00000000-0008-0000-1000-00001F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 floating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2</xdr:row>
          <xdr:rowOff>85725</xdr:rowOff>
        </xdr:from>
        <xdr:to>
          <xdr:col>8</xdr:col>
          <xdr:colOff>619125</xdr:colOff>
          <xdr:row>3</xdr:row>
          <xdr:rowOff>123825</xdr:rowOff>
        </xdr:to>
        <xdr:sp macro="" textlink="">
          <xdr:nvSpPr>
            <xdr:cNvPr id="89120" name="Check Box 32" hidden="1">
              <a:extLst>
                <a:ext uri="{63B3BB69-23CF-44E3-9099-C40C66FF867C}">
                  <a14:compatExt spid="_x0000_s89120"/>
                </a:ext>
                <a:ext uri="{FF2B5EF4-FFF2-40B4-BE49-F238E27FC236}">
                  <a16:creationId xmlns:a16="http://schemas.microsoft.com/office/drawing/2014/main" id="{00000000-0008-0000-1000-000020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Offshore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171450</xdr:colOff>
          <xdr:row>2</xdr:row>
          <xdr:rowOff>76200</xdr:rowOff>
        </xdr:from>
        <xdr:to>
          <xdr:col>7</xdr:col>
          <xdr:colOff>581025</xdr:colOff>
          <xdr:row>3</xdr:row>
          <xdr:rowOff>114300</xdr:rowOff>
        </xdr:to>
        <xdr:sp macro="" textlink="">
          <xdr:nvSpPr>
            <xdr:cNvPr id="89121" name="Check Box 33" hidden="1">
              <a:extLst>
                <a:ext uri="{63B3BB69-23CF-44E3-9099-C40C66FF867C}">
                  <a14:compatExt spid="_x0000_s89121"/>
                </a:ext>
                <a:ext uri="{FF2B5EF4-FFF2-40B4-BE49-F238E27FC236}">
                  <a16:creationId xmlns:a16="http://schemas.microsoft.com/office/drawing/2014/main" id="{00000000-0008-0000-1000-0000215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Greenfield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428625</xdr:colOff>
          <xdr:row>4</xdr:row>
          <xdr:rowOff>19050</xdr:rowOff>
        </xdr:from>
        <xdr:to>
          <xdr:col>6</xdr:col>
          <xdr:colOff>85725</xdr:colOff>
          <xdr:row>5</xdr:row>
          <xdr:rowOff>57150</xdr:rowOff>
        </xdr:to>
        <xdr:sp macro="" textlink="">
          <xdr:nvSpPr>
            <xdr:cNvPr id="89122" name="Drop Down 34" hidden="1">
              <a:extLst>
                <a:ext uri="{63B3BB69-23CF-44E3-9099-C40C66FF867C}">
                  <a14:compatExt spid="_x0000_s89122"/>
                </a:ext>
                <a:ext uri="{FF2B5EF4-FFF2-40B4-BE49-F238E27FC236}">
                  <a16:creationId xmlns:a16="http://schemas.microsoft.com/office/drawing/2014/main" id="{00000000-0008-0000-1000-000022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3</xdr:col>
          <xdr:colOff>295275</xdr:colOff>
          <xdr:row>2</xdr:row>
          <xdr:rowOff>57150</xdr:rowOff>
        </xdr:from>
        <xdr:to>
          <xdr:col>4</xdr:col>
          <xdr:colOff>552450</xdr:colOff>
          <xdr:row>3</xdr:row>
          <xdr:rowOff>95250</xdr:rowOff>
        </xdr:to>
        <xdr:sp macro="" textlink="">
          <xdr:nvSpPr>
            <xdr:cNvPr id="89123" name="Drop Down 35" hidden="1">
              <a:extLst>
                <a:ext uri="{63B3BB69-23CF-44E3-9099-C40C66FF867C}">
                  <a14:compatExt spid="_x0000_s89123"/>
                </a:ext>
                <a:ext uri="{FF2B5EF4-FFF2-40B4-BE49-F238E27FC236}">
                  <a16:creationId xmlns:a16="http://schemas.microsoft.com/office/drawing/2014/main" id="{00000000-0008-0000-1000-0000235C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0</xdr:col>
      <xdr:colOff>0</xdr:colOff>
      <xdr:row>9</xdr:row>
      <xdr:rowOff>133350</xdr:rowOff>
    </xdr:from>
    <xdr:to>
      <xdr:col>5</xdr:col>
      <xdr:colOff>133350</xdr:colOff>
      <xdr:row>24</xdr:row>
      <xdr:rowOff>38099</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200026</xdr:colOff>
      <xdr:row>33</xdr:row>
      <xdr:rowOff>183261</xdr:rowOff>
    </xdr:from>
    <xdr:to>
      <xdr:col>23</xdr:col>
      <xdr:colOff>88583</xdr:colOff>
      <xdr:row>53</xdr:row>
      <xdr:rowOff>47623</xdr:rowOff>
    </xdr:to>
    <xdr:pic>
      <xdr:nvPicPr>
        <xdr:cNvPr id="3" name="Picture 2">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026" y="6469761"/>
          <a:ext cx="15125699" cy="35505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152401</xdr:colOff>
      <xdr:row>47</xdr:row>
      <xdr:rowOff>57150</xdr:rowOff>
    </xdr:from>
    <xdr:to>
      <xdr:col>14</xdr:col>
      <xdr:colOff>896894</xdr:colOff>
      <xdr:row>57</xdr:row>
      <xdr:rowOff>9205</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stretch>
          <a:fillRect/>
        </a:stretch>
      </xdr:blipFill>
      <xdr:spPr>
        <a:xfrm>
          <a:off x="6905626" y="9010650"/>
          <a:ext cx="3582942" cy="1857055"/>
        </a:xfrm>
        <a:prstGeom prst="rect">
          <a:avLst/>
        </a:prstGeom>
      </xdr:spPr>
    </xdr:pic>
    <xdr:clientData/>
  </xdr:twoCellAnchor>
  <xdr:twoCellAnchor>
    <xdr:from>
      <xdr:col>36</xdr:col>
      <xdr:colOff>1040605</xdr:colOff>
      <xdr:row>22</xdr:row>
      <xdr:rowOff>2381</xdr:rowOff>
    </xdr:from>
    <xdr:to>
      <xdr:col>43</xdr:col>
      <xdr:colOff>97630</xdr:colOff>
      <xdr:row>36</xdr:row>
      <xdr:rowOff>78581</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154781</xdr:colOff>
      <xdr:row>21</xdr:row>
      <xdr:rowOff>138111</xdr:rowOff>
    </xdr:from>
    <xdr:to>
      <xdr:col>34</xdr:col>
      <xdr:colOff>297656</xdr:colOff>
      <xdr:row>36</xdr:row>
      <xdr:rowOff>26193</xdr:rowOff>
    </xdr:to>
    <xdr:graphicFrame macro="">
      <xdr:nvGraphicFramePr>
        <xdr:cNvPr id="8" name="Chart 7">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414130</xdr:colOff>
      <xdr:row>3</xdr:row>
      <xdr:rowOff>91937</xdr:rowOff>
    </xdr:from>
    <xdr:to>
      <xdr:col>17</xdr:col>
      <xdr:colOff>140804</xdr:colOff>
      <xdr:row>37</xdr:row>
      <xdr:rowOff>149087</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153435</xdr:colOff>
      <xdr:row>13</xdr:row>
      <xdr:rowOff>143704</xdr:rowOff>
    </xdr:from>
    <xdr:to>
      <xdr:col>25</xdr:col>
      <xdr:colOff>458234</xdr:colOff>
      <xdr:row>28</xdr:row>
      <xdr:rowOff>54251</xdr:rowOff>
    </xdr:to>
    <xdr:graphicFrame macro="">
      <xdr:nvGraphicFramePr>
        <xdr:cNvPr id="3" name="Chart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590550</xdr:colOff>
      <xdr:row>38</xdr:row>
      <xdr:rowOff>171450</xdr:rowOff>
    </xdr:from>
    <xdr:to>
      <xdr:col>11</xdr:col>
      <xdr:colOff>229419</xdr:colOff>
      <xdr:row>89</xdr:row>
      <xdr:rowOff>56659</xdr:rowOff>
    </xdr:to>
    <xdr:pic>
      <xdr:nvPicPr>
        <xdr:cNvPr id="4" name="Picture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3"/>
        <a:stretch>
          <a:fillRect/>
        </a:stretch>
      </xdr:blipFill>
      <xdr:spPr>
        <a:xfrm>
          <a:off x="590550" y="7219950"/>
          <a:ext cx="6000000" cy="8409524"/>
        </a:xfrm>
        <a:prstGeom prst="rect">
          <a:avLst/>
        </a:prstGeom>
      </xdr:spPr>
    </xdr:pic>
    <xdr:clientData/>
  </xdr:twoCellAnchor>
  <xdr:twoCellAnchor>
    <xdr:from>
      <xdr:col>18</xdr:col>
      <xdr:colOff>508758</xdr:colOff>
      <xdr:row>0</xdr:row>
      <xdr:rowOff>134178</xdr:rowOff>
    </xdr:from>
    <xdr:to>
      <xdr:col>26</xdr:col>
      <xdr:colOff>217211</xdr:colOff>
      <xdr:row>14</xdr:row>
      <xdr:rowOff>19879</xdr:rowOff>
    </xdr:to>
    <xdr:graphicFrame macro="">
      <xdr:nvGraphicFramePr>
        <xdr:cNvPr id="5" name="Chart 4">
          <a:extLst>
            <a:ext uri="{FF2B5EF4-FFF2-40B4-BE49-F238E27FC236}">
              <a16:creationId xmlns:a16="http://schemas.microsoft.com/office/drawing/2014/main" id="{00000000-0008-0000-1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76480</xdr:colOff>
      <xdr:row>38</xdr:row>
      <xdr:rowOff>95811</xdr:rowOff>
    </xdr:from>
    <xdr:to>
      <xdr:col>18</xdr:col>
      <xdr:colOff>205069</xdr:colOff>
      <xdr:row>58</xdr:row>
      <xdr:rowOff>57711</xdr:rowOff>
    </xdr:to>
    <xdr:graphicFrame macro="">
      <xdr:nvGraphicFramePr>
        <xdr:cNvPr id="7" name="Chart 6">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3</xdr:row>
      <xdr:rowOff>0</xdr:rowOff>
    </xdr:from>
    <xdr:to>
      <xdr:col>8</xdr:col>
      <xdr:colOff>443948</xdr:colOff>
      <xdr:row>27</xdr:row>
      <xdr:rowOff>20955</xdr:rowOff>
    </xdr:to>
    <xdr:pic>
      <xdr:nvPicPr>
        <xdr:cNvPr id="6" name="Picture 5" descr="Chart, line chart&#10;&#10;Description automatically generated">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737152"/>
          <a:ext cx="5943600" cy="4592955"/>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304800</xdr:colOff>
      <xdr:row>30</xdr:row>
      <xdr:rowOff>19050</xdr:rowOff>
    </xdr:from>
    <xdr:to>
      <xdr:col>26</xdr:col>
      <xdr:colOff>323849</xdr:colOff>
      <xdr:row>52</xdr:row>
      <xdr:rowOff>47242</xdr:rowOff>
    </xdr:to>
    <xdr:pic>
      <xdr:nvPicPr>
        <xdr:cNvPr id="2" name="Picture 1">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5353050"/>
          <a:ext cx="15125699" cy="35505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europa.eu.int/DATA/vapeur/prixtrim/year1999/3vap9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europa.eu.int/CoalPrices/steam%20coal/Prices/year2000/1steam200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A Lire &amp; lancement de macros."/>
      <sheetName val="Basic Information"/>
      <sheetName val="Portugal"/>
      <sheetName val="Spain"/>
      <sheetName val="Data Input"/>
      <sheetName val="Minimum &amp; Maximum Prices $.tce"/>
      <sheetName val="Final Results"/>
      <sheetName val="Annual Data"/>
      <sheetName val="To Print"/>
      <sheetName val="Print Macro"/>
      <sheetName val="Mise à zéro"/>
      <sheetName val="Macro Copy to Annual Data"/>
    </sheetNames>
    <sheetDataSet>
      <sheetData sheetId="0"/>
      <sheetData sheetId="1"/>
      <sheetData sheetId="2"/>
      <sheetData sheetId="3"/>
      <sheetData sheetId="4"/>
      <sheetData sheetId="5"/>
      <sheetData sheetId="6" refreshError="1"/>
      <sheetData sheetId="7"/>
      <sheetData sheetId="8"/>
      <sheetData sheetId="9"/>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A Lire &amp; lancement de macros."/>
      <sheetName val="Basic Information"/>
      <sheetName val="Portugal"/>
      <sheetName val="Spain"/>
      <sheetName val="Data Input"/>
      <sheetName val="Minimum &amp; Maximum Prices $.tce"/>
      <sheetName val="Final Results"/>
      <sheetName val="Annual Data"/>
      <sheetName val="To Print"/>
      <sheetName val="Print Macro"/>
      <sheetName val="Mise à zéro"/>
      <sheetName val="Macro Copy to Annual Data"/>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omments" Target="../comments1.xml"/></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24.xml"/><Relationship Id="rId13" Type="http://schemas.openxmlformats.org/officeDocument/2006/relationships/ctrlProp" Target="../ctrlProps/ctrlProp29.xml"/><Relationship Id="rId3" Type="http://schemas.openxmlformats.org/officeDocument/2006/relationships/hyperlink" Target="https://windeurope.org/intelligence-platform/product/wind-energy-in-europe-in-2020-trends-and-statistics/" TargetMode="External"/><Relationship Id="rId7" Type="http://schemas.openxmlformats.org/officeDocument/2006/relationships/vmlDrawing" Target="../drawings/vmlDrawing2.vml"/><Relationship Id="rId12" Type="http://schemas.openxmlformats.org/officeDocument/2006/relationships/ctrlProp" Target="../ctrlProps/ctrlProp28.xml"/><Relationship Id="rId2" Type="http://schemas.openxmlformats.org/officeDocument/2006/relationships/hyperlink" Target="https://www.vestas.com/~/media/vestas/about/sustainability/pdfs/v1123%2045mw_mk3a_iso_lca_final_31072017.pdf" TargetMode="External"/><Relationship Id="rId1" Type="http://schemas.openxmlformats.org/officeDocument/2006/relationships/hyperlink" Target="https://www.vestas.com/~/media/vestas/about/sustainability/pdfs/v1123%2045mw_mk3a_iso_lca_final_31072017.pdf" TargetMode="External"/><Relationship Id="rId6" Type="http://schemas.openxmlformats.org/officeDocument/2006/relationships/drawing" Target="../drawings/drawing2.xml"/><Relationship Id="rId11" Type="http://schemas.openxmlformats.org/officeDocument/2006/relationships/ctrlProp" Target="../ctrlProps/ctrlProp27.xml"/><Relationship Id="rId5" Type="http://schemas.openxmlformats.org/officeDocument/2006/relationships/hyperlink" Target="https://windeurope.org/intelligence-platform/product/wind-energy-in-europe-in-2020-trends-and-statistics/" TargetMode="External"/><Relationship Id="rId15" Type="http://schemas.openxmlformats.org/officeDocument/2006/relationships/comments" Target="../comments2.xml"/><Relationship Id="rId10" Type="http://schemas.openxmlformats.org/officeDocument/2006/relationships/ctrlProp" Target="../ctrlProps/ctrlProp26.xml"/><Relationship Id="rId4" Type="http://schemas.openxmlformats.org/officeDocument/2006/relationships/hyperlink" Target="https://windeurope.org/policy/topics/economics/" TargetMode="External"/><Relationship Id="rId9" Type="http://schemas.openxmlformats.org/officeDocument/2006/relationships/ctrlProp" Target="../ctrlProps/ctrlProp25.xml"/><Relationship Id="rId14" Type="http://schemas.openxmlformats.org/officeDocument/2006/relationships/ctrlProp" Target="../ctrlProps/ctrlProp30.xml"/></Relationships>
</file>

<file path=xl/worksheets/_rels/sheet5.xml.rels><?xml version="1.0" encoding="UTF-8" standalone="yes"?>
<Relationships xmlns="http://schemas.openxmlformats.org/package/2006/relationships"><Relationship Id="rId3" Type="http://schemas.openxmlformats.org/officeDocument/2006/relationships/ctrlProp" Target="../ctrlProps/ctrlProp31.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36.xml"/><Relationship Id="rId13" Type="http://schemas.openxmlformats.org/officeDocument/2006/relationships/ctrlProp" Target="../ctrlProps/ctrlProp41.xml"/><Relationship Id="rId3" Type="http://schemas.openxmlformats.org/officeDocument/2006/relationships/vmlDrawing" Target="../drawings/vmlDrawing5.vml"/><Relationship Id="rId7" Type="http://schemas.openxmlformats.org/officeDocument/2006/relationships/ctrlProp" Target="../ctrlProps/ctrlProp35.xml"/><Relationship Id="rId12" Type="http://schemas.openxmlformats.org/officeDocument/2006/relationships/ctrlProp" Target="../ctrlProps/ctrlProp40.xml"/><Relationship Id="rId2" Type="http://schemas.openxmlformats.org/officeDocument/2006/relationships/drawing" Target="../drawings/drawing4.xml"/><Relationship Id="rId16" Type="http://schemas.openxmlformats.org/officeDocument/2006/relationships/comments" Target="../comments4.xml"/><Relationship Id="rId1" Type="http://schemas.openxmlformats.org/officeDocument/2006/relationships/printerSettings" Target="../printerSettings/printerSettings4.bin"/><Relationship Id="rId6" Type="http://schemas.openxmlformats.org/officeDocument/2006/relationships/ctrlProp" Target="../ctrlProps/ctrlProp34.xml"/><Relationship Id="rId11" Type="http://schemas.openxmlformats.org/officeDocument/2006/relationships/ctrlProp" Target="../ctrlProps/ctrlProp39.xml"/><Relationship Id="rId5" Type="http://schemas.openxmlformats.org/officeDocument/2006/relationships/ctrlProp" Target="../ctrlProps/ctrlProp33.xml"/><Relationship Id="rId15" Type="http://schemas.openxmlformats.org/officeDocument/2006/relationships/ctrlProp" Target="../ctrlProps/ctrlProp43.xml"/><Relationship Id="rId10" Type="http://schemas.openxmlformats.org/officeDocument/2006/relationships/ctrlProp" Target="../ctrlProps/ctrlProp38.xml"/><Relationship Id="rId4" Type="http://schemas.openxmlformats.org/officeDocument/2006/relationships/ctrlProp" Target="../ctrlProps/ctrlProp32.xml"/><Relationship Id="rId9" Type="http://schemas.openxmlformats.org/officeDocument/2006/relationships/ctrlProp" Target="../ctrlProps/ctrlProp37.xml"/><Relationship Id="rId14" Type="http://schemas.openxmlformats.org/officeDocument/2006/relationships/ctrlProp" Target="../ctrlProps/ctrlProp42.xml"/></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48.xml"/><Relationship Id="rId13" Type="http://schemas.openxmlformats.org/officeDocument/2006/relationships/ctrlProp" Target="../ctrlProps/ctrlProp53.xml"/><Relationship Id="rId18" Type="http://schemas.openxmlformats.org/officeDocument/2006/relationships/ctrlProp" Target="../ctrlProps/ctrlProp58.xml"/><Relationship Id="rId3" Type="http://schemas.openxmlformats.org/officeDocument/2006/relationships/vmlDrawing" Target="../drawings/vmlDrawing6.vml"/><Relationship Id="rId21" Type="http://schemas.openxmlformats.org/officeDocument/2006/relationships/ctrlProp" Target="../ctrlProps/ctrlProp61.xml"/><Relationship Id="rId7" Type="http://schemas.openxmlformats.org/officeDocument/2006/relationships/ctrlProp" Target="../ctrlProps/ctrlProp47.xml"/><Relationship Id="rId12" Type="http://schemas.openxmlformats.org/officeDocument/2006/relationships/ctrlProp" Target="../ctrlProps/ctrlProp52.xml"/><Relationship Id="rId17" Type="http://schemas.openxmlformats.org/officeDocument/2006/relationships/ctrlProp" Target="../ctrlProps/ctrlProp57.xml"/><Relationship Id="rId25" Type="http://schemas.openxmlformats.org/officeDocument/2006/relationships/comments" Target="../comments5.xml"/><Relationship Id="rId2" Type="http://schemas.openxmlformats.org/officeDocument/2006/relationships/drawing" Target="../drawings/drawing5.xml"/><Relationship Id="rId16" Type="http://schemas.openxmlformats.org/officeDocument/2006/relationships/ctrlProp" Target="../ctrlProps/ctrlProp56.xml"/><Relationship Id="rId20" Type="http://schemas.openxmlformats.org/officeDocument/2006/relationships/ctrlProp" Target="../ctrlProps/ctrlProp60.xml"/><Relationship Id="rId1" Type="http://schemas.openxmlformats.org/officeDocument/2006/relationships/printerSettings" Target="../printerSettings/printerSettings5.bin"/><Relationship Id="rId6" Type="http://schemas.openxmlformats.org/officeDocument/2006/relationships/ctrlProp" Target="../ctrlProps/ctrlProp46.xml"/><Relationship Id="rId11" Type="http://schemas.openxmlformats.org/officeDocument/2006/relationships/ctrlProp" Target="../ctrlProps/ctrlProp51.xml"/><Relationship Id="rId24" Type="http://schemas.openxmlformats.org/officeDocument/2006/relationships/ctrlProp" Target="../ctrlProps/ctrlProp64.xml"/><Relationship Id="rId5" Type="http://schemas.openxmlformats.org/officeDocument/2006/relationships/ctrlProp" Target="../ctrlProps/ctrlProp45.xml"/><Relationship Id="rId15" Type="http://schemas.openxmlformats.org/officeDocument/2006/relationships/ctrlProp" Target="../ctrlProps/ctrlProp55.xml"/><Relationship Id="rId23" Type="http://schemas.openxmlformats.org/officeDocument/2006/relationships/ctrlProp" Target="../ctrlProps/ctrlProp63.xml"/><Relationship Id="rId10" Type="http://schemas.openxmlformats.org/officeDocument/2006/relationships/ctrlProp" Target="../ctrlProps/ctrlProp50.xml"/><Relationship Id="rId19" Type="http://schemas.openxmlformats.org/officeDocument/2006/relationships/ctrlProp" Target="../ctrlProps/ctrlProp59.xml"/><Relationship Id="rId4" Type="http://schemas.openxmlformats.org/officeDocument/2006/relationships/ctrlProp" Target="../ctrlProps/ctrlProp44.xml"/><Relationship Id="rId9" Type="http://schemas.openxmlformats.org/officeDocument/2006/relationships/ctrlProp" Target="../ctrlProps/ctrlProp49.xml"/><Relationship Id="rId14" Type="http://schemas.openxmlformats.org/officeDocument/2006/relationships/ctrlProp" Target="../ctrlProps/ctrlProp54.xml"/><Relationship Id="rId22" Type="http://schemas.openxmlformats.org/officeDocument/2006/relationships/ctrlProp" Target="../ctrlProps/ctrlProp62.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70.xml"/><Relationship Id="rId13" Type="http://schemas.openxmlformats.org/officeDocument/2006/relationships/ctrlProp" Target="../ctrlProps/ctrlProp75.xml"/><Relationship Id="rId3" Type="http://schemas.openxmlformats.org/officeDocument/2006/relationships/ctrlProp" Target="../ctrlProps/ctrlProp65.xml"/><Relationship Id="rId7" Type="http://schemas.openxmlformats.org/officeDocument/2006/relationships/ctrlProp" Target="../ctrlProps/ctrlProp69.xml"/><Relationship Id="rId12" Type="http://schemas.openxmlformats.org/officeDocument/2006/relationships/ctrlProp" Target="../ctrlProps/ctrlProp74.xml"/><Relationship Id="rId2" Type="http://schemas.openxmlformats.org/officeDocument/2006/relationships/vmlDrawing" Target="../drawings/vmlDrawing7.vml"/><Relationship Id="rId1" Type="http://schemas.openxmlformats.org/officeDocument/2006/relationships/drawing" Target="../drawings/drawing6.xml"/><Relationship Id="rId6" Type="http://schemas.openxmlformats.org/officeDocument/2006/relationships/ctrlProp" Target="../ctrlProps/ctrlProp68.xml"/><Relationship Id="rId11" Type="http://schemas.openxmlformats.org/officeDocument/2006/relationships/ctrlProp" Target="../ctrlProps/ctrlProp73.xml"/><Relationship Id="rId5" Type="http://schemas.openxmlformats.org/officeDocument/2006/relationships/ctrlProp" Target="../ctrlProps/ctrlProp67.xml"/><Relationship Id="rId10" Type="http://schemas.openxmlformats.org/officeDocument/2006/relationships/ctrlProp" Target="../ctrlProps/ctrlProp72.xml"/><Relationship Id="rId4" Type="http://schemas.openxmlformats.org/officeDocument/2006/relationships/ctrlProp" Target="../ctrlProps/ctrlProp66.xml"/><Relationship Id="rId9" Type="http://schemas.openxmlformats.org/officeDocument/2006/relationships/ctrlProp" Target="../ctrlProps/ctrlProp71.xml"/><Relationship Id="rId14" Type="http://schemas.openxmlformats.org/officeDocument/2006/relationships/ctrlProp" Target="../ctrlProps/ctrlProp76.xml"/></Relationships>
</file>

<file path=xl/worksheets/_rels/sheet12.xml.rels><?xml version="1.0" encoding="UTF-8" standalone="yes"?>
<Relationships xmlns="http://schemas.openxmlformats.org/package/2006/relationships"><Relationship Id="rId3" Type="http://schemas.openxmlformats.org/officeDocument/2006/relationships/ctrlProp" Target="../ctrlProps/ctrlProp77.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6.bin"/><Relationship Id="rId6" Type="http://schemas.openxmlformats.org/officeDocument/2006/relationships/comments" Target="../comments6.xml"/><Relationship Id="rId5" Type="http://schemas.openxmlformats.org/officeDocument/2006/relationships/ctrlProp" Target="../ctrlProps/ctrlProp79.xml"/><Relationship Id="rId4" Type="http://schemas.openxmlformats.org/officeDocument/2006/relationships/ctrlProp" Target="../ctrlProps/ctrlProp78.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84.xml"/><Relationship Id="rId13" Type="http://schemas.openxmlformats.org/officeDocument/2006/relationships/ctrlProp" Target="../ctrlProps/ctrlProp89.xml"/><Relationship Id="rId18" Type="http://schemas.openxmlformats.org/officeDocument/2006/relationships/comments" Target="../comments7.xml"/><Relationship Id="rId3" Type="http://schemas.openxmlformats.org/officeDocument/2006/relationships/vmlDrawing" Target="../drawings/vmlDrawing10.vml"/><Relationship Id="rId7" Type="http://schemas.openxmlformats.org/officeDocument/2006/relationships/ctrlProp" Target="../ctrlProps/ctrlProp83.xml"/><Relationship Id="rId12" Type="http://schemas.openxmlformats.org/officeDocument/2006/relationships/ctrlProp" Target="../ctrlProps/ctrlProp88.xml"/><Relationship Id="rId17" Type="http://schemas.openxmlformats.org/officeDocument/2006/relationships/ctrlProp" Target="../ctrlProps/ctrlProp93.xml"/><Relationship Id="rId2" Type="http://schemas.openxmlformats.org/officeDocument/2006/relationships/drawing" Target="../drawings/drawing9.xml"/><Relationship Id="rId16" Type="http://schemas.openxmlformats.org/officeDocument/2006/relationships/ctrlProp" Target="../ctrlProps/ctrlProp92.xml"/><Relationship Id="rId1" Type="http://schemas.openxmlformats.org/officeDocument/2006/relationships/printerSettings" Target="../printerSettings/printerSettings7.bin"/><Relationship Id="rId6" Type="http://schemas.openxmlformats.org/officeDocument/2006/relationships/ctrlProp" Target="../ctrlProps/ctrlProp82.xml"/><Relationship Id="rId11" Type="http://schemas.openxmlformats.org/officeDocument/2006/relationships/ctrlProp" Target="../ctrlProps/ctrlProp87.xml"/><Relationship Id="rId5" Type="http://schemas.openxmlformats.org/officeDocument/2006/relationships/ctrlProp" Target="../ctrlProps/ctrlProp81.xml"/><Relationship Id="rId15" Type="http://schemas.openxmlformats.org/officeDocument/2006/relationships/ctrlProp" Target="../ctrlProps/ctrlProp91.xml"/><Relationship Id="rId10" Type="http://schemas.openxmlformats.org/officeDocument/2006/relationships/ctrlProp" Target="../ctrlProps/ctrlProp86.xml"/><Relationship Id="rId4" Type="http://schemas.openxmlformats.org/officeDocument/2006/relationships/ctrlProp" Target="../ctrlProps/ctrlProp80.xml"/><Relationship Id="rId9" Type="http://schemas.openxmlformats.org/officeDocument/2006/relationships/ctrlProp" Target="../ctrlProps/ctrlProp85.xml"/><Relationship Id="rId14" Type="http://schemas.openxmlformats.org/officeDocument/2006/relationships/ctrlProp" Target="../ctrlProps/ctrlProp90.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7" Type="http://schemas.openxmlformats.org/officeDocument/2006/relationships/comments" Target="../comments8.xml"/><Relationship Id="rId2" Type="http://schemas.openxmlformats.org/officeDocument/2006/relationships/drawing" Target="../drawings/drawing11.xml"/><Relationship Id="rId1" Type="http://schemas.openxmlformats.org/officeDocument/2006/relationships/printerSettings" Target="../printerSettings/printerSettings8.bin"/><Relationship Id="rId6" Type="http://schemas.openxmlformats.org/officeDocument/2006/relationships/ctrlProp" Target="../ctrlProps/ctrlProp96.xml"/><Relationship Id="rId5" Type="http://schemas.openxmlformats.org/officeDocument/2006/relationships/ctrlProp" Target="../ctrlProps/ctrlProp95.xml"/><Relationship Id="rId4" Type="http://schemas.openxmlformats.org/officeDocument/2006/relationships/ctrlProp" Target="../ctrlProps/ctrlProp94.xml"/></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102.xml"/><Relationship Id="rId13" Type="http://schemas.openxmlformats.org/officeDocument/2006/relationships/ctrlProp" Target="../ctrlProps/ctrlProp107.xml"/><Relationship Id="rId18" Type="http://schemas.openxmlformats.org/officeDocument/2006/relationships/comments" Target="../comments9.xml"/><Relationship Id="rId3" Type="http://schemas.openxmlformats.org/officeDocument/2006/relationships/ctrlProp" Target="../ctrlProps/ctrlProp97.xml"/><Relationship Id="rId7" Type="http://schemas.openxmlformats.org/officeDocument/2006/relationships/ctrlProp" Target="../ctrlProps/ctrlProp101.xml"/><Relationship Id="rId12" Type="http://schemas.openxmlformats.org/officeDocument/2006/relationships/ctrlProp" Target="../ctrlProps/ctrlProp106.xml"/><Relationship Id="rId17" Type="http://schemas.openxmlformats.org/officeDocument/2006/relationships/ctrlProp" Target="../ctrlProps/ctrlProp111.xml"/><Relationship Id="rId2" Type="http://schemas.openxmlformats.org/officeDocument/2006/relationships/vmlDrawing" Target="../drawings/vmlDrawing12.vml"/><Relationship Id="rId16" Type="http://schemas.openxmlformats.org/officeDocument/2006/relationships/ctrlProp" Target="../ctrlProps/ctrlProp110.xml"/><Relationship Id="rId1" Type="http://schemas.openxmlformats.org/officeDocument/2006/relationships/drawing" Target="../drawings/drawing12.xml"/><Relationship Id="rId6" Type="http://schemas.openxmlformats.org/officeDocument/2006/relationships/ctrlProp" Target="../ctrlProps/ctrlProp100.xml"/><Relationship Id="rId11" Type="http://schemas.openxmlformats.org/officeDocument/2006/relationships/ctrlProp" Target="../ctrlProps/ctrlProp105.xml"/><Relationship Id="rId5" Type="http://schemas.openxmlformats.org/officeDocument/2006/relationships/ctrlProp" Target="../ctrlProps/ctrlProp99.xml"/><Relationship Id="rId15" Type="http://schemas.openxmlformats.org/officeDocument/2006/relationships/ctrlProp" Target="../ctrlProps/ctrlProp109.xml"/><Relationship Id="rId10" Type="http://schemas.openxmlformats.org/officeDocument/2006/relationships/ctrlProp" Target="../ctrlProps/ctrlProp104.xml"/><Relationship Id="rId4" Type="http://schemas.openxmlformats.org/officeDocument/2006/relationships/ctrlProp" Target="../ctrlProps/ctrlProp98.xml"/><Relationship Id="rId9" Type="http://schemas.openxmlformats.org/officeDocument/2006/relationships/ctrlProp" Target="../ctrlProps/ctrlProp103.xml"/><Relationship Id="rId14" Type="http://schemas.openxmlformats.org/officeDocument/2006/relationships/ctrlProp" Target="../ctrlProps/ctrlProp10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B2:G18"/>
  <sheetViews>
    <sheetView workbookViewId="0">
      <selection activeCell="G7" sqref="G7"/>
    </sheetView>
  </sheetViews>
  <sheetFormatPr defaultRowHeight="15" x14ac:dyDescent="0.3"/>
  <cols>
    <col min="2" max="2" width="23.625" customWidth="1"/>
    <col min="3" max="3" width="10.125" bestFit="1" customWidth="1"/>
    <col min="5" max="5" width="11.375" bestFit="1" customWidth="1"/>
    <col min="6" max="6" width="12.375" bestFit="1" customWidth="1"/>
    <col min="7" max="7" width="110.875" customWidth="1"/>
  </cols>
  <sheetData>
    <row r="2" spans="2:7" x14ac:dyDescent="0.3">
      <c r="B2" s="1313" t="s">
        <v>1010</v>
      </c>
      <c r="C2" s="1313" t="s">
        <v>1011</v>
      </c>
      <c r="D2" s="1313" t="s">
        <v>1012</v>
      </c>
      <c r="E2" s="1313" t="s">
        <v>1013</v>
      </c>
      <c r="F2" s="1313" t="s">
        <v>1014</v>
      </c>
      <c r="G2" s="1313" t="s">
        <v>1015</v>
      </c>
    </row>
    <row r="4" spans="2:7" x14ac:dyDescent="0.3">
      <c r="B4" s="1721"/>
      <c r="C4" s="1315"/>
      <c r="D4" s="1316"/>
      <c r="E4" s="1316"/>
      <c r="F4" s="1316"/>
      <c r="G4" s="1317"/>
    </row>
    <row r="5" spans="2:7" x14ac:dyDescent="0.3">
      <c r="B5" s="1721" t="s">
        <v>1698</v>
      </c>
      <c r="C5" s="1315"/>
      <c r="D5" s="1316"/>
      <c r="E5" s="1316"/>
      <c r="F5" s="1316"/>
      <c r="G5" s="1317"/>
    </row>
    <row r="6" spans="2:7" ht="30" x14ac:dyDescent="0.3">
      <c r="B6" s="1721" t="s">
        <v>1631</v>
      </c>
      <c r="C6" s="1315">
        <v>44326</v>
      </c>
      <c r="D6" s="1316" t="s">
        <v>1615</v>
      </c>
      <c r="E6" s="1316"/>
      <c r="F6" s="1316"/>
      <c r="G6" s="1317" t="s">
        <v>1614</v>
      </c>
    </row>
    <row r="7" spans="2:7" ht="75" x14ac:dyDescent="0.3">
      <c r="B7" s="1721" t="s">
        <v>1600</v>
      </c>
      <c r="C7" s="1315">
        <v>44323</v>
      </c>
      <c r="D7" s="1316" t="s">
        <v>1601</v>
      </c>
      <c r="E7" s="1316"/>
      <c r="F7" s="1316"/>
      <c r="G7" s="1317" t="s">
        <v>1599</v>
      </c>
    </row>
    <row r="8" spans="2:7" ht="60" x14ac:dyDescent="0.3">
      <c r="B8" s="1721" t="s">
        <v>1539</v>
      </c>
      <c r="C8" s="1315">
        <v>44321</v>
      </c>
      <c r="D8" s="1316" t="s">
        <v>1020</v>
      </c>
      <c r="E8" s="1316"/>
      <c r="F8" s="1316"/>
      <c r="G8" s="1317" t="s">
        <v>1538</v>
      </c>
    </row>
    <row r="9" spans="2:7" ht="58.5" customHeight="1" x14ac:dyDescent="0.3">
      <c r="B9" s="1315" t="s">
        <v>1535</v>
      </c>
      <c r="C9" s="1315">
        <v>44321</v>
      </c>
      <c r="D9" s="1316" t="s">
        <v>1536</v>
      </c>
      <c r="E9" s="1316"/>
      <c r="F9" s="1316"/>
      <c r="G9" s="1317" t="s">
        <v>1537</v>
      </c>
    </row>
    <row r="10" spans="2:7" ht="45" x14ac:dyDescent="0.3">
      <c r="B10" s="1318" t="s">
        <v>1513</v>
      </c>
      <c r="C10" s="1315">
        <v>44298</v>
      </c>
      <c r="D10" s="1316" t="s">
        <v>1020</v>
      </c>
      <c r="E10" s="1316"/>
      <c r="F10" s="1316"/>
      <c r="G10" s="1317" t="s">
        <v>1441</v>
      </c>
    </row>
    <row r="11" spans="2:7" ht="105" x14ac:dyDescent="0.3">
      <c r="B11" s="1318" t="s">
        <v>1436</v>
      </c>
      <c r="C11" s="1315">
        <v>44310</v>
      </c>
      <c r="D11" s="1316" t="s">
        <v>1020</v>
      </c>
      <c r="E11" s="1316"/>
      <c r="F11" s="1316"/>
      <c r="G11" s="1317" t="s">
        <v>1435</v>
      </c>
    </row>
    <row r="12" spans="2:7" ht="30" x14ac:dyDescent="0.3">
      <c r="B12" s="1318" t="s">
        <v>1022</v>
      </c>
      <c r="C12" s="1315">
        <v>44292</v>
      </c>
      <c r="D12" s="1316" t="s">
        <v>1020</v>
      </c>
      <c r="E12" s="1316"/>
      <c r="F12" s="1316"/>
      <c r="G12" s="1317" t="s">
        <v>1419</v>
      </c>
    </row>
    <row r="13" spans="2:7" ht="60" x14ac:dyDescent="0.3">
      <c r="B13" s="1318" t="s">
        <v>1019</v>
      </c>
      <c r="C13" s="1315">
        <v>44263</v>
      </c>
      <c r="D13" s="1316" t="s">
        <v>1020</v>
      </c>
      <c r="E13" s="1316"/>
      <c r="F13" s="1316"/>
      <c r="G13" s="1317" t="s">
        <v>1021</v>
      </c>
    </row>
    <row r="14" spans="2:7" ht="90" x14ac:dyDescent="0.3">
      <c r="B14" s="1314" t="s">
        <v>1016</v>
      </c>
      <c r="C14" s="1315">
        <v>44260</v>
      </c>
      <c r="D14" s="1316" t="s">
        <v>1017</v>
      </c>
      <c r="E14" s="1316"/>
      <c r="F14" s="1316"/>
      <c r="G14" s="1317" t="s">
        <v>1018</v>
      </c>
    </row>
    <row r="15" spans="2:7" x14ac:dyDescent="0.3">
      <c r="B15" s="1316"/>
      <c r="C15" s="1316"/>
      <c r="D15" s="1316"/>
      <c r="E15" s="1316"/>
      <c r="F15" s="1316"/>
      <c r="G15" s="1319"/>
    </row>
    <row r="16" spans="2:7" x14ac:dyDescent="0.3">
      <c r="B16" s="1316"/>
      <c r="C16" s="1316"/>
      <c r="D16" s="1316"/>
      <c r="E16" s="1316"/>
      <c r="F16" s="1316"/>
      <c r="G16" s="1319"/>
    </row>
    <row r="17" spans="2:7" x14ac:dyDescent="0.3">
      <c r="B17" s="1316"/>
      <c r="C17" s="1316"/>
      <c r="D17" s="1316"/>
      <c r="E17" s="1316"/>
      <c r="F17" s="1316"/>
      <c r="G17" s="1319"/>
    </row>
    <row r="18" spans="2:7" x14ac:dyDescent="0.3">
      <c r="B18" s="1316"/>
      <c r="C18" s="1316"/>
      <c r="D18" s="1316"/>
      <c r="E18" s="1316"/>
      <c r="F18" s="1316"/>
      <c r="G18" s="131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N25"/>
  <sheetViews>
    <sheetView showGridLines="0" zoomScale="90" zoomScaleNormal="90" workbookViewId="0">
      <selection activeCell="L105" sqref="L105"/>
    </sheetView>
  </sheetViews>
  <sheetFormatPr defaultColWidth="8.875" defaultRowHeight="15" x14ac:dyDescent="0.3"/>
  <cols>
    <col min="1" max="1" width="12.375" style="43" customWidth="1"/>
    <col min="2" max="2" width="8.875" style="25"/>
    <col min="3" max="3" width="9.375" style="30" customWidth="1"/>
    <col min="9" max="10" width="3.625" customWidth="1"/>
    <col min="14" max="14" width="11.375" customWidth="1"/>
  </cols>
  <sheetData>
    <row r="1" spans="1:14" ht="21" x14ac:dyDescent="0.3">
      <c r="A1" s="6" t="s">
        <v>269</v>
      </c>
    </row>
    <row r="2" spans="1:14" x14ac:dyDescent="0.3">
      <c r="A2" s="97"/>
      <c r="C2"/>
    </row>
    <row r="3" spans="1:14" x14ac:dyDescent="0.3">
      <c r="A3" s="10" t="s">
        <v>396</v>
      </c>
      <c r="B3" s="151"/>
      <c r="C3" s="152"/>
      <c r="D3" s="152"/>
      <c r="E3" s="152"/>
      <c r="F3" s="152"/>
      <c r="G3" s="152"/>
      <c r="H3" s="152"/>
      <c r="I3" s="153"/>
      <c r="J3" s="154"/>
      <c r="K3" s="8" t="s">
        <v>270</v>
      </c>
      <c r="L3" s="152"/>
      <c r="M3" s="152"/>
      <c r="N3" s="152"/>
    </row>
    <row r="4" spans="1:14" x14ac:dyDescent="0.3">
      <c r="A4" s="97" t="s">
        <v>392</v>
      </c>
      <c r="B4" s="25" t="s">
        <v>421</v>
      </c>
      <c r="C4"/>
      <c r="I4" s="153"/>
      <c r="J4" s="154"/>
    </row>
    <row r="5" spans="1:14" x14ac:dyDescent="0.3">
      <c r="A5" s="97" t="s">
        <v>6</v>
      </c>
      <c r="B5" s="25" t="s">
        <v>393</v>
      </c>
      <c r="C5"/>
      <c r="I5" s="153"/>
      <c r="J5" s="154"/>
      <c r="K5" s="155" t="s">
        <v>265</v>
      </c>
      <c r="L5" s="156"/>
      <c r="M5" s="156"/>
      <c r="N5" s="156"/>
    </row>
    <row r="6" spans="1:14" x14ac:dyDescent="0.3">
      <c r="A6" s="97" t="s">
        <v>391</v>
      </c>
      <c r="B6" s="25" t="s">
        <v>394</v>
      </c>
      <c r="C6"/>
      <c r="I6" s="153"/>
      <c r="J6" s="154"/>
      <c r="K6" s="1430" t="s">
        <v>1058</v>
      </c>
      <c r="L6" s="156"/>
      <c r="M6" s="156"/>
      <c r="N6" s="156"/>
    </row>
    <row r="7" spans="1:14" x14ac:dyDescent="0.3">
      <c r="A7" s="97" t="s">
        <v>274</v>
      </c>
      <c r="B7" s="25" t="s">
        <v>400</v>
      </c>
      <c r="C7"/>
      <c r="I7" s="153"/>
      <c r="J7" s="154"/>
      <c r="K7" s="25"/>
      <c r="L7" s="686"/>
      <c r="M7" s="686"/>
      <c r="N7" s="686"/>
    </row>
    <row r="8" spans="1:14" x14ac:dyDescent="0.3">
      <c r="A8" s="97" t="s">
        <v>50</v>
      </c>
      <c r="B8" s="25" t="s">
        <v>401</v>
      </c>
      <c r="C8"/>
      <c r="I8" s="153"/>
      <c r="J8" s="154"/>
      <c r="K8" s="685" t="s">
        <v>914</v>
      </c>
    </row>
    <row r="9" spans="1:14" x14ac:dyDescent="0.3">
      <c r="A9" s="97" t="s">
        <v>125</v>
      </c>
      <c r="B9" s="25" t="s">
        <v>402</v>
      </c>
      <c r="C9"/>
      <c r="E9" s="83"/>
      <c r="I9" s="153"/>
      <c r="J9" s="154"/>
      <c r="K9" s="157" t="s">
        <v>266</v>
      </c>
      <c r="L9" s="158"/>
      <c r="M9" s="158"/>
      <c r="N9" s="158"/>
    </row>
    <row r="10" spans="1:14" x14ac:dyDescent="0.3">
      <c r="A10" s="97" t="s">
        <v>273</v>
      </c>
      <c r="B10" s="25" t="s">
        <v>403</v>
      </c>
      <c r="C10"/>
      <c r="I10" s="153"/>
      <c r="J10" s="154"/>
      <c r="K10" s="683" t="s">
        <v>915</v>
      </c>
      <c r="L10" s="684"/>
      <c r="M10" s="684"/>
      <c r="N10" s="684"/>
    </row>
    <row r="11" spans="1:14" x14ac:dyDescent="0.3">
      <c r="A11" s="97"/>
      <c r="C11"/>
      <c r="I11" s="153"/>
      <c r="J11" s="154"/>
    </row>
    <row r="12" spans="1:14" x14ac:dyDescent="0.3">
      <c r="A12" s="97" t="s">
        <v>395</v>
      </c>
      <c r="B12" s="25" t="s">
        <v>275</v>
      </c>
      <c r="C12"/>
      <c r="I12" s="153"/>
      <c r="J12" s="154"/>
      <c r="K12" s="159" t="s">
        <v>267</v>
      </c>
    </row>
    <row r="13" spans="1:14" x14ac:dyDescent="0.3">
      <c r="A13" s="97" t="s">
        <v>404</v>
      </c>
      <c r="B13" s="25" t="s">
        <v>276</v>
      </c>
      <c r="C13"/>
      <c r="I13" s="153"/>
      <c r="J13" s="154"/>
      <c r="K13" s="160" t="s">
        <v>268</v>
      </c>
      <c r="L13" s="161"/>
      <c r="M13" s="161"/>
      <c r="N13" s="161"/>
    </row>
    <row r="14" spans="1:14" x14ac:dyDescent="0.3">
      <c r="C14"/>
    </row>
    <row r="15" spans="1:14" x14ac:dyDescent="0.3">
      <c r="A15" s="97" t="s">
        <v>127</v>
      </c>
      <c r="B15" s="25" t="s">
        <v>271</v>
      </c>
      <c r="C15"/>
      <c r="K15" s="350" t="s">
        <v>586</v>
      </c>
      <c r="L15" s="350"/>
      <c r="M15" s="350"/>
      <c r="N15" s="350"/>
    </row>
    <row r="16" spans="1:14" x14ac:dyDescent="0.3">
      <c r="A16" s="97" t="s">
        <v>463</v>
      </c>
      <c r="B16" s="25" t="s">
        <v>405</v>
      </c>
      <c r="C16"/>
      <c r="K16" s="351" t="s">
        <v>587</v>
      </c>
      <c r="L16" s="351"/>
      <c r="M16" s="351"/>
      <c r="N16" s="351"/>
    </row>
    <row r="17" spans="1:14" x14ac:dyDescent="0.3">
      <c r="A17" s="97" t="s">
        <v>464</v>
      </c>
      <c r="B17" s="162" t="s">
        <v>406</v>
      </c>
      <c r="C17"/>
      <c r="K17" s="352" t="s">
        <v>588</v>
      </c>
      <c r="L17" s="352"/>
      <c r="M17" s="352"/>
      <c r="N17" s="352"/>
    </row>
    <row r="18" spans="1:14" x14ac:dyDescent="0.3">
      <c r="A18" s="97" t="s">
        <v>390</v>
      </c>
      <c r="B18" s="25" t="s">
        <v>280</v>
      </c>
      <c r="C18"/>
      <c r="K18" s="353" t="s">
        <v>589</v>
      </c>
      <c r="L18" s="353"/>
      <c r="M18" s="353"/>
      <c r="N18" s="353"/>
    </row>
    <row r="19" spans="1:14" x14ac:dyDescent="0.3">
      <c r="A19" s="97" t="s">
        <v>389</v>
      </c>
      <c r="B19" s="25" t="s">
        <v>277</v>
      </c>
      <c r="C19"/>
    </row>
    <row r="21" spans="1:14" x14ac:dyDescent="0.3">
      <c r="A21" s="43" t="s">
        <v>468</v>
      </c>
      <c r="B21" s="25" t="s">
        <v>466</v>
      </c>
    </row>
    <row r="22" spans="1:14" x14ac:dyDescent="0.3">
      <c r="A22" s="43" t="s">
        <v>469</v>
      </c>
      <c r="B22" s="25" t="s">
        <v>467</v>
      </c>
    </row>
    <row r="24" spans="1:14" x14ac:dyDescent="0.3">
      <c r="A24" s="10" t="s">
        <v>965</v>
      </c>
      <c r="B24" s="151"/>
      <c r="C24" s="1108"/>
      <c r="D24" s="1109" t="s">
        <v>966</v>
      </c>
      <c r="E24" s="152"/>
      <c r="F24" s="152"/>
      <c r="G24" s="152"/>
      <c r="H24" s="152"/>
      <c r="I24" s="152"/>
      <c r="J24" s="152"/>
      <c r="K24" s="152"/>
      <c r="L24" s="152"/>
      <c r="M24" s="152"/>
      <c r="N24" s="152"/>
    </row>
    <row r="25" spans="1:14" x14ac:dyDescent="0.3">
      <c r="C25"/>
    </row>
  </sheetData>
  <pageMargins left="0.7" right="0.7" top="0.75" bottom="0.75" header="0.3" footer="0.3"/>
  <pageSetup paperSize="9" scale="75" fitToHeight="0"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1:AJ45"/>
  <sheetViews>
    <sheetView showGridLines="0" zoomScale="90" zoomScaleNormal="90" workbookViewId="0">
      <pane ySplit="6" topLeftCell="A10" activePane="bottomLeft" state="frozen"/>
      <selection activeCell="L105" sqref="L105"/>
      <selection pane="bottomLeft" activeCell="B36" sqref="B36"/>
    </sheetView>
  </sheetViews>
  <sheetFormatPr defaultColWidth="9.125" defaultRowHeight="15" x14ac:dyDescent="0.3"/>
  <cols>
    <col min="1" max="1" width="10.875" style="139" customWidth="1"/>
    <col min="2" max="2" width="17.625" style="139" customWidth="1"/>
    <col min="3" max="4" width="9.125" style="139"/>
    <col min="5" max="5" width="18.875" style="139" bestFit="1" customWidth="1"/>
    <col min="6" max="6" width="6.375" style="139" customWidth="1"/>
    <col min="7" max="7" width="11.875" style="139" customWidth="1"/>
    <col min="8" max="8" width="9.125" style="139"/>
    <col min="9" max="9" width="13.625" style="139" customWidth="1"/>
    <col min="10" max="10" width="9.125" style="139"/>
    <col min="11" max="11" width="13.625" style="139" customWidth="1"/>
    <col min="12" max="12" width="9.125" style="139"/>
    <col min="13" max="13" width="13.625" style="139" customWidth="1"/>
    <col min="14" max="14" width="7.125" style="139" customWidth="1"/>
    <col min="15" max="15" width="15" style="139" customWidth="1"/>
    <col min="16" max="17" width="9.125" style="139"/>
    <col min="18" max="20" width="15.375" customWidth="1"/>
    <col min="21" max="21" width="9.125" style="139"/>
    <col min="22" max="22" width="17.375" style="139" customWidth="1"/>
    <col min="23" max="23" width="6" style="139" customWidth="1"/>
    <col min="24" max="24" width="16.375" style="139" customWidth="1"/>
    <col min="25" max="25" width="9.125" style="139"/>
    <col min="26" max="26" width="17.375" style="139" customWidth="1"/>
    <col min="27" max="27" width="6" style="139" customWidth="1"/>
    <col min="28" max="28" width="16.375" style="139" customWidth="1"/>
    <col min="29" max="29" width="6" style="139" customWidth="1"/>
    <col min="30" max="30" width="16.375" style="139" customWidth="1"/>
    <col min="31" max="31" width="6" style="139" customWidth="1"/>
    <col min="32" max="32" width="16.375" style="139" customWidth="1"/>
    <col min="33" max="33" width="6" style="139" customWidth="1"/>
    <col min="34" max="34" width="16.375" style="139" customWidth="1"/>
    <col min="35" max="35" width="9.125" style="139"/>
    <col min="36" max="36" width="16.375" style="139" customWidth="1"/>
    <col min="37" max="16384" width="9.125" style="139"/>
  </cols>
  <sheetData>
    <row r="1" spans="1:36" ht="21" x14ac:dyDescent="0.3">
      <c r="A1" s="6" t="s">
        <v>262</v>
      </c>
      <c r="I1" s="1345"/>
    </row>
    <row r="2" spans="1:36" ht="13.5" customHeight="1" thickBot="1" x14ac:dyDescent="0.35">
      <c r="A2" s="6"/>
      <c r="I2" s="1418" t="s">
        <v>988</v>
      </c>
      <c r="J2" s="639"/>
      <c r="K2" s="639"/>
      <c r="L2" s="639"/>
      <c r="M2" s="639"/>
      <c r="N2" s="512"/>
      <c r="O2" s="1417" t="s">
        <v>1029</v>
      </c>
      <c r="R2" s="139"/>
      <c r="U2"/>
    </row>
    <row r="3" spans="1:36" s="350" customFormat="1" x14ac:dyDescent="0.3">
      <c r="A3" s="1473" t="s">
        <v>296</v>
      </c>
      <c r="B3" s="1474">
        <f>scenario_size</f>
        <v>0</v>
      </c>
      <c r="C3" s="1475" t="s">
        <v>603</v>
      </c>
      <c r="D3" s="1483">
        <f>park_size</f>
        <v>0</v>
      </c>
      <c r="E3" s="1476" t="s">
        <v>738</v>
      </c>
      <c r="F3" s="1484">
        <f>Ampyx_WACC_selected</f>
        <v>0</v>
      </c>
      <c r="G3" s="1476" t="s">
        <v>1035</v>
      </c>
      <c r="H3" s="1485">
        <f>Horizon_selected</f>
        <v>0</v>
      </c>
      <c r="I3" s="1370" t="s">
        <v>75</v>
      </c>
      <c r="J3" s="1373">
        <f ca="1">Performance!C4</f>
        <v>150</v>
      </c>
      <c r="K3" s="1369" t="s">
        <v>501</v>
      </c>
      <c r="L3" s="1375">
        <f ca="1">N</f>
        <v>30</v>
      </c>
      <c r="M3" s="1365" t="s">
        <v>292</v>
      </c>
      <c r="N3" s="1352">
        <f ca="1">horizon</f>
        <v>25</v>
      </c>
      <c r="O3" s="1429" t="s">
        <v>1044</v>
      </c>
      <c r="P3" s="1422"/>
      <c r="Q3" s="1422"/>
      <c r="R3" s="1422"/>
      <c r="S3" s="1392"/>
      <c r="T3" s="1392"/>
      <c r="U3" s="1392"/>
      <c r="V3" s="1422"/>
      <c r="W3" s="1422"/>
      <c r="X3" s="1422"/>
      <c r="Y3" s="1423"/>
    </row>
    <row r="4" spans="1:36" s="350" customFormat="1" x14ac:dyDescent="0.3">
      <c r="A4" s="1477" t="s">
        <v>713</v>
      </c>
      <c r="B4" s="1486">
        <f>avg_wind_speed</f>
        <v>0</v>
      </c>
      <c r="C4" s="1478" t="s">
        <v>630</v>
      </c>
      <c r="D4" s="1487">
        <f>P_level</f>
        <v>0</v>
      </c>
      <c r="E4" s="1479" t="s">
        <v>737</v>
      </c>
      <c r="F4" s="1487">
        <f>Project_WACC_selected</f>
        <v>0</v>
      </c>
      <c r="G4" s="1479" t="s">
        <v>1031</v>
      </c>
      <c r="H4" s="1516">
        <f>IF(greenfield,1,0)</f>
        <v>1</v>
      </c>
      <c r="I4" s="1367" t="s">
        <v>904</v>
      </c>
      <c r="J4" s="1149">
        <f ca="1">Performance!C3</f>
        <v>12</v>
      </c>
      <c r="K4" s="1347" t="s">
        <v>905</v>
      </c>
      <c r="L4" s="1376">
        <f ca="1">Performance!$C$8</f>
        <v>15.539326163190678</v>
      </c>
      <c r="M4" s="1362" t="s">
        <v>1051</v>
      </c>
      <c r="N4" s="1379">
        <f ca="1">LCOE</f>
        <v>97.766902413760249</v>
      </c>
      <c r="O4" s="1424"/>
      <c r="S4" s="16"/>
      <c r="T4" s="16"/>
      <c r="U4" s="16"/>
      <c r="Y4" s="1425"/>
    </row>
    <row r="5" spans="1:36" s="350" customFormat="1" x14ac:dyDescent="0.3">
      <c r="A5" s="1477" t="s">
        <v>481</v>
      </c>
      <c r="B5" s="1488">
        <f>quantity</f>
        <v>0</v>
      </c>
      <c r="C5" s="1478" t="s">
        <v>629</v>
      </c>
      <c r="D5" s="1487">
        <f>Tp_level</f>
        <v>0</v>
      </c>
      <c r="E5" s="1479" t="s">
        <v>742</v>
      </c>
      <c r="F5" s="1487">
        <f>AWES_margin_selected</f>
        <v>0</v>
      </c>
      <c r="G5" s="1479" t="s">
        <v>1032</v>
      </c>
      <c r="H5" s="1516">
        <f>IF(offshore,1,0)</f>
        <v>0</v>
      </c>
      <c r="I5" s="1366" t="s">
        <v>65</v>
      </c>
      <c r="J5" s="1374">
        <f ca="1">Tmax_p</f>
        <v>42.000000000000007</v>
      </c>
      <c r="K5" s="1361" t="s">
        <v>910</v>
      </c>
      <c r="L5" s="1377">
        <f ca="1">Scenarios!D22</f>
        <v>12.5</v>
      </c>
      <c r="M5" s="1362" t="s">
        <v>1052</v>
      </c>
      <c r="N5" s="1363">
        <f ca="1">'LCOE analysis'!D19</f>
        <v>0.40220801713922949</v>
      </c>
      <c r="O5" s="1424"/>
      <c r="S5" s="16"/>
      <c r="T5" s="16"/>
      <c r="U5" s="16"/>
      <c r="Y5" s="1425"/>
    </row>
    <row r="6" spans="1:36" s="350" customFormat="1" ht="15.75" thickBot="1" x14ac:dyDescent="0.35">
      <c r="A6" s="1480" t="s">
        <v>625</v>
      </c>
      <c r="B6" s="1489">
        <f>AWES_power</f>
        <v>0</v>
      </c>
      <c r="C6" s="1481" t="s">
        <v>635</v>
      </c>
      <c r="D6" s="1490">
        <f>Tt_level</f>
        <v>0</v>
      </c>
      <c r="E6" s="1482" t="s">
        <v>741</v>
      </c>
      <c r="F6" s="1490">
        <f>SP_margin_selected</f>
        <v>0</v>
      </c>
      <c r="G6" s="1482" t="s">
        <v>1033</v>
      </c>
      <c r="H6" s="1517">
        <f>IF(offshore_floating,1,0)</f>
        <v>0</v>
      </c>
      <c r="I6" s="1412" t="s">
        <v>1053</v>
      </c>
      <c r="J6" s="1372">
        <f ca="1">avg_speed</f>
        <v>10.563903252812876</v>
      </c>
      <c r="K6" s="1348" t="s">
        <v>984</v>
      </c>
      <c r="L6" s="1378">
        <f ca="1">Scenarios!D24</f>
        <v>0.28000000000000003</v>
      </c>
      <c r="M6" s="1364" t="s">
        <v>621</v>
      </c>
      <c r="N6" s="1380">
        <f ca="1">'LCOE analysis'!D18</f>
        <v>15.865899652091185</v>
      </c>
      <c r="O6" s="1426"/>
      <c r="P6" s="1427"/>
      <c r="Q6" s="1427"/>
      <c r="R6" s="1427"/>
      <c r="S6" s="1397"/>
      <c r="T6" s="1397"/>
      <c r="U6" s="1397"/>
      <c r="V6" s="1427"/>
      <c r="W6" s="1427"/>
      <c r="X6" s="1427"/>
      <c r="Y6" s="1428"/>
    </row>
    <row r="8" spans="1:36" x14ac:dyDescent="0.3">
      <c r="V8" s="45"/>
      <c r="Z8" s="45"/>
    </row>
    <row r="9" spans="1:36" x14ac:dyDescent="0.3">
      <c r="V9" s="45"/>
      <c r="Z9" s="45"/>
    </row>
    <row r="10" spans="1:36" x14ac:dyDescent="0.3">
      <c r="R10" t="s">
        <v>75</v>
      </c>
      <c r="S10" t="s">
        <v>418</v>
      </c>
      <c r="T10" t="s">
        <v>417</v>
      </c>
    </row>
    <row r="11" spans="1:36" x14ac:dyDescent="0.3">
      <c r="B11" s="148" t="s">
        <v>263</v>
      </c>
      <c r="C11" s="148" t="s">
        <v>435</v>
      </c>
      <c r="E11" s="1340" t="s">
        <v>411</v>
      </c>
      <c r="F11"/>
      <c r="G11" s="360" t="s">
        <v>296</v>
      </c>
      <c r="H11"/>
      <c r="I11" s="360" t="s">
        <v>713</v>
      </c>
      <c r="J11"/>
      <c r="K11" s="360" t="s">
        <v>481</v>
      </c>
      <c r="L11"/>
      <c r="M11" s="360" t="s">
        <v>625</v>
      </c>
      <c r="N11"/>
      <c r="O11" s="360" t="s">
        <v>603</v>
      </c>
      <c r="R11" s="360" t="s">
        <v>630</v>
      </c>
      <c r="S11" s="360" t="s">
        <v>629</v>
      </c>
      <c r="T11" s="360" t="s">
        <v>635</v>
      </c>
      <c r="V11" s="45" t="s">
        <v>754</v>
      </c>
      <c r="X11" s="45" t="s">
        <v>755</v>
      </c>
      <c r="Z11" s="45" t="s">
        <v>773</v>
      </c>
      <c r="AB11" s="45" t="s">
        <v>774</v>
      </c>
      <c r="AD11" s="45" t="s">
        <v>872</v>
      </c>
      <c r="AF11" s="45" t="s">
        <v>886</v>
      </c>
      <c r="AH11" s="45" t="s">
        <v>888</v>
      </c>
      <c r="AJ11" s="45" t="s">
        <v>1670</v>
      </c>
    </row>
    <row r="12" spans="1:36" x14ac:dyDescent="0.3">
      <c r="B12" s="149" t="str">
        <f>INDEX(C18:C21,B15)</f>
        <v>E</v>
      </c>
      <c r="C12" s="49" t="str">
        <f ca="1">OFFSET(C17,gen_type_nr,0)</f>
        <v>E</v>
      </c>
      <c r="E12" s="149" t="str">
        <f ca="1">INDEX(E18:E30,E15)</f>
        <v>10 - Model run - external</v>
      </c>
      <c r="G12" s="1336" cm="1">
        <f t="array" ref="G12">INDEX(G18:G32,G15)</f>
        <v>0</v>
      </c>
      <c r="H12"/>
      <c r="I12" s="443">
        <f t="array" ref="I12">INDEX(I18:I32,I15)</f>
        <v>0</v>
      </c>
      <c r="J12"/>
      <c r="K12" s="358">
        <f t="array" ref="K12">INDEX(K18:K32,K15)</f>
        <v>0</v>
      </c>
      <c r="L12"/>
      <c r="M12" s="1323">
        <f t="array" ref="M12">INDEX(M18:M32,M15)</f>
        <v>0</v>
      </c>
      <c r="N12"/>
      <c r="O12" s="1324">
        <f t="array" ref="O12">INDEX(O18:O32,O15)</f>
        <v>0</v>
      </c>
      <c r="R12" s="361">
        <f t="array" ref="R12">INDEX(R18:R32,R15)</f>
        <v>0</v>
      </c>
      <c r="S12" s="361">
        <f t="array" ref="S12">INDEX(S18:S32,S15)</f>
        <v>0</v>
      </c>
      <c r="T12" s="361">
        <f t="array" ref="T12">INDEX(T18:T32,T15)</f>
        <v>0</v>
      </c>
      <c r="V12" s="361">
        <f t="array" ref="V12">INDEX(V18:V32,V15)</f>
        <v>0</v>
      </c>
      <c r="W12" s="467"/>
      <c r="X12" s="361">
        <f t="array" ref="X12">INDEX(X18:X32,X15)</f>
        <v>0</v>
      </c>
      <c r="Z12" s="361">
        <f t="array" ref="Z12">INDEX(Z18:Z32,Z15)</f>
        <v>0</v>
      </c>
      <c r="AA12" s="467"/>
      <c r="AB12" s="361">
        <f t="array" ref="AB12">INDEX(AB18:AB32,AB15)</f>
        <v>0</v>
      </c>
      <c r="AC12" s="467"/>
      <c r="AD12" s="1325">
        <f t="array" ref="AD12">INDEX(AD18:AD32,AD15)</f>
        <v>0</v>
      </c>
      <c r="AE12" s="76"/>
      <c r="AF12" s="1334">
        <f t="array" ref="AF12">INDEX(AF18:AF32,AF15)</f>
        <v>0.79999999999999982</v>
      </c>
      <c r="AG12" s="76"/>
      <c r="AH12" s="1335">
        <f t="array" ref="AH12">INDEX(AH18:AH32,AH15)</f>
        <v>0.79999999999999982</v>
      </c>
      <c r="AJ12" s="1864">
        <f t="array" ref="AJ12">INDEX(AJ18:AJ32,AJ15)</f>
        <v>26</v>
      </c>
    </row>
    <row r="13" spans="1:36" x14ac:dyDescent="0.3">
      <c r="G13"/>
      <c r="H13"/>
      <c r="I13"/>
      <c r="J13"/>
      <c r="K13"/>
      <c r="L13"/>
      <c r="M13"/>
      <c r="N13"/>
      <c r="O13"/>
      <c r="AF13" s="25"/>
      <c r="AG13" s="25"/>
      <c r="AH13" s="25"/>
      <c r="AJ13" s="25"/>
    </row>
    <row r="14" spans="1:36" x14ac:dyDescent="0.3">
      <c r="B14" s="148" t="s">
        <v>410</v>
      </c>
      <c r="E14" s="1337" t="s">
        <v>408</v>
      </c>
      <c r="G14" s="1337" t="s">
        <v>478</v>
      </c>
      <c r="H14"/>
      <c r="I14" s="360">
        <v>4</v>
      </c>
      <c r="J14"/>
      <c r="K14" s="1337" t="s">
        <v>480</v>
      </c>
      <c r="L14"/>
      <c r="M14" s="1337" t="s">
        <v>626</v>
      </c>
      <c r="N14"/>
      <c r="O14" s="1337" t="s">
        <v>604</v>
      </c>
      <c r="R14" s="360" t="s">
        <v>631</v>
      </c>
      <c r="S14" s="360" t="s">
        <v>634</v>
      </c>
      <c r="T14" s="360" t="s">
        <v>636</v>
      </c>
      <c r="V14" s="45" t="s">
        <v>757</v>
      </c>
      <c r="X14" s="45" t="s">
        <v>756</v>
      </c>
      <c r="Z14" s="45" t="s">
        <v>775</v>
      </c>
      <c r="AB14" s="45" t="s">
        <v>777</v>
      </c>
      <c r="AD14" s="45" t="s">
        <v>871</v>
      </c>
      <c r="AF14" s="45" t="s">
        <v>887</v>
      </c>
      <c r="AG14" s="25"/>
      <c r="AH14" s="45" t="s">
        <v>889</v>
      </c>
      <c r="AJ14" s="45" t="s">
        <v>1671</v>
      </c>
    </row>
    <row r="15" spans="1:36" x14ac:dyDescent="0.3">
      <c r="B15" s="150">
        <v>2</v>
      </c>
      <c r="D15" s="145"/>
      <c r="E15" s="156">
        <v>11</v>
      </c>
      <c r="G15" s="156">
        <v>1</v>
      </c>
      <c r="H15"/>
      <c r="I15" s="156">
        <v>1</v>
      </c>
      <c r="J15"/>
      <c r="K15" s="156">
        <v>1</v>
      </c>
      <c r="L15"/>
      <c r="M15" s="156">
        <v>1</v>
      </c>
      <c r="N15"/>
      <c r="O15" s="156">
        <v>1</v>
      </c>
      <c r="R15" s="156">
        <v>1</v>
      </c>
      <c r="S15" s="156">
        <v>1</v>
      </c>
      <c r="T15" s="156">
        <v>1</v>
      </c>
      <c r="U15"/>
      <c r="V15" s="156">
        <v>1</v>
      </c>
      <c r="W15"/>
      <c r="X15" s="156">
        <v>1</v>
      </c>
      <c r="Y15"/>
      <c r="Z15" s="156">
        <v>1</v>
      </c>
      <c r="AA15"/>
      <c r="AB15" s="156">
        <v>1</v>
      </c>
      <c r="AC15"/>
      <c r="AD15" s="156">
        <v>1</v>
      </c>
      <c r="AE15"/>
      <c r="AF15" s="156">
        <v>11</v>
      </c>
      <c r="AG15"/>
      <c r="AH15" s="156">
        <v>11</v>
      </c>
      <c r="AJ15" s="156">
        <v>8</v>
      </c>
    </row>
    <row r="16" spans="1:36" x14ac:dyDescent="0.3">
      <c r="G16"/>
      <c r="H16"/>
      <c r="I16"/>
      <c r="J16"/>
      <c r="K16"/>
      <c r="L16"/>
      <c r="M16"/>
      <c r="N16"/>
      <c r="O16"/>
      <c r="AF16" s="25"/>
      <c r="AG16" s="25"/>
      <c r="AH16" s="25"/>
      <c r="AJ16" s="25"/>
    </row>
    <row r="17" spans="2:36" x14ac:dyDescent="0.3">
      <c r="B17" s="148" t="s">
        <v>264</v>
      </c>
      <c r="E17" s="148" t="s">
        <v>409</v>
      </c>
      <c r="G17" s="1337" t="s">
        <v>477</v>
      </c>
      <c r="H17"/>
      <c r="I17" s="360" t="s">
        <v>1681</v>
      </c>
      <c r="J17"/>
      <c r="K17" s="1337" t="s">
        <v>479</v>
      </c>
      <c r="L17"/>
      <c r="M17" s="1337" t="s">
        <v>627</v>
      </c>
      <c r="N17"/>
      <c r="O17" s="1337" t="s">
        <v>628</v>
      </c>
      <c r="R17" s="360" t="s">
        <v>632</v>
      </c>
      <c r="S17" s="360" t="s">
        <v>633</v>
      </c>
      <c r="T17" s="360" t="s">
        <v>637</v>
      </c>
      <c r="V17" s="45" t="s">
        <v>758</v>
      </c>
      <c r="X17" s="45" t="s">
        <v>759</v>
      </c>
      <c r="Z17" s="45" t="s">
        <v>776</v>
      </c>
      <c r="AB17" s="45" t="s">
        <v>778</v>
      </c>
      <c r="AD17" s="45" t="s">
        <v>870</v>
      </c>
      <c r="AF17" s="45" t="s">
        <v>885</v>
      </c>
      <c r="AG17" s="25"/>
      <c r="AH17" s="45" t="s">
        <v>890</v>
      </c>
      <c r="AJ17" s="45" t="s">
        <v>1672</v>
      </c>
    </row>
    <row r="18" spans="2:36" x14ac:dyDescent="0.3">
      <c r="B18" s="150" t="s">
        <v>164</v>
      </c>
      <c r="C18" s="46" t="s">
        <v>216</v>
      </c>
      <c r="D18" s="139">
        <v>1</v>
      </c>
      <c r="E18" s="147" t="str">
        <f ca="1">OFFSET(Scenarios!H$9,0,D18)</f>
        <v>0 - Reference</v>
      </c>
      <c r="G18" s="1338"/>
      <c r="H18"/>
      <c r="I18" s="127"/>
      <c r="J18"/>
      <c r="K18" s="127"/>
      <c r="L18"/>
      <c r="M18" s="1322"/>
      <c r="N18"/>
      <c r="O18" s="1326">
        <v>0</v>
      </c>
      <c r="P18"/>
      <c r="Q18" s="156"/>
      <c r="R18" s="362"/>
      <c r="S18" s="363"/>
      <c r="T18" s="364"/>
      <c r="U18"/>
      <c r="V18" s="1322"/>
      <c r="W18"/>
      <c r="X18" s="1326">
        <v>0</v>
      </c>
      <c r="Y18"/>
      <c r="Z18" s="1322"/>
      <c r="AA18"/>
      <c r="AB18" s="1326">
        <v>0</v>
      </c>
      <c r="AC18"/>
      <c r="AD18" s="1326">
        <v>0</v>
      </c>
      <c r="AE18"/>
      <c r="AF18" s="1327"/>
      <c r="AG18"/>
      <c r="AH18" s="1328"/>
      <c r="AJ18" s="1328"/>
    </row>
    <row r="19" spans="2:36" x14ac:dyDescent="0.3">
      <c r="B19" s="150" t="s">
        <v>208</v>
      </c>
      <c r="C19" s="46" t="s">
        <v>433</v>
      </c>
      <c r="D19" s="139">
        <v>2</v>
      </c>
      <c r="E19" s="147" t="str">
        <f ca="1">OFFSET(Scenarios!H$9,0,D19)</f>
        <v>1 - No Gains</v>
      </c>
      <c r="G19" s="1339">
        <v>12</v>
      </c>
      <c r="H19"/>
      <c r="I19" s="442">
        <v>6</v>
      </c>
      <c r="J19"/>
      <c r="K19" s="175">
        <v>5</v>
      </c>
      <c r="L19"/>
      <c r="M19" s="1322">
        <v>50</v>
      </c>
      <c r="N19"/>
      <c r="O19" s="1326">
        <v>1</v>
      </c>
      <c r="P19"/>
      <c r="Q19" s="381">
        <v>0.5</v>
      </c>
      <c r="R19" s="362">
        <v>0.5</v>
      </c>
      <c r="S19" s="363">
        <v>0.5</v>
      </c>
      <c r="T19" s="364">
        <v>0.5</v>
      </c>
      <c r="U19"/>
      <c r="V19" s="1329">
        <v>9.9999999999999995E-8</v>
      </c>
      <c r="W19"/>
      <c r="X19" s="1330">
        <v>9.9999999999999995E-8</v>
      </c>
      <c r="Y19"/>
      <c r="Z19" s="1331">
        <v>9.9999999999999995E-8</v>
      </c>
      <c r="AA19"/>
      <c r="AB19" s="1332">
        <v>9.9999999999999995E-8</v>
      </c>
      <c r="AC19"/>
      <c r="AD19" s="1333">
        <v>10</v>
      </c>
      <c r="AE19"/>
      <c r="AF19" s="1327">
        <v>0</v>
      </c>
      <c r="AG19"/>
      <c r="AH19" s="1328">
        <v>0</v>
      </c>
      <c r="AJ19" s="1863">
        <v>14</v>
      </c>
    </row>
    <row r="20" spans="2:36" x14ac:dyDescent="0.3">
      <c r="B20" s="150" t="s">
        <v>210</v>
      </c>
      <c r="C20" s="46" t="s">
        <v>23</v>
      </c>
      <c r="D20" s="139">
        <v>3</v>
      </c>
      <c r="E20" s="147" t="str">
        <f ca="1">OFFSET(Scenarios!H$9,0,D20)</f>
        <v>2 - Low Case 2026</v>
      </c>
      <c r="G20" s="1339">
        <v>25</v>
      </c>
      <c r="H20"/>
      <c r="I20" s="442">
        <f>I19+0.5</f>
        <v>6.5</v>
      </c>
      <c r="J20"/>
      <c r="K20" s="175">
        <v>15</v>
      </c>
      <c r="L20"/>
      <c r="M20" s="1322">
        <v>100</v>
      </c>
      <c r="N20"/>
      <c r="O20" s="1326">
        <v>2</v>
      </c>
      <c r="P20"/>
      <c r="Q20" s="381">
        <v>0.6</v>
      </c>
      <c r="R20" s="362">
        <v>0.6</v>
      </c>
      <c r="S20" s="363">
        <v>0.6</v>
      </c>
      <c r="T20" s="364">
        <v>0.6</v>
      </c>
      <c r="U20"/>
      <c r="V20" s="1329">
        <v>0.01</v>
      </c>
      <c r="W20"/>
      <c r="X20" s="1330">
        <v>0.01</v>
      </c>
      <c r="Y20"/>
      <c r="Z20" s="1331">
        <v>0.05</v>
      </c>
      <c r="AA20"/>
      <c r="AB20" s="1332">
        <v>0.05</v>
      </c>
      <c r="AC20"/>
      <c r="AD20" s="1333">
        <v>15</v>
      </c>
      <c r="AE20"/>
      <c r="AF20" s="1327">
        <f>AF21-5%</f>
        <v>0.39999999999999963</v>
      </c>
      <c r="AG20"/>
      <c r="AH20" s="1328">
        <f>AH21-5%</f>
        <v>0.39999999999999963</v>
      </c>
      <c r="AJ20" s="1863">
        <v>16</v>
      </c>
    </row>
    <row r="21" spans="2:36" x14ac:dyDescent="0.3">
      <c r="B21" s="150" t="s">
        <v>434</v>
      </c>
      <c r="C21" t="s">
        <v>274</v>
      </c>
      <c r="D21" s="139">
        <v>4</v>
      </c>
      <c r="E21" s="147" t="str">
        <f ca="1">OFFSET(Scenarios!H$9,0,D21)</f>
        <v>3 - Base Case 2030</v>
      </c>
      <c r="G21" s="1339">
        <v>35</v>
      </c>
      <c r="H21"/>
      <c r="I21" s="442">
        <f t="shared" ref="I21:I32" si="0">I20+0.5</f>
        <v>7</v>
      </c>
      <c r="J21"/>
      <c r="K21" s="175">
        <v>25</v>
      </c>
      <c r="L21"/>
      <c r="M21" s="1322">
        <v>150</v>
      </c>
      <c r="N21"/>
      <c r="O21" s="1326">
        <v>3</v>
      </c>
      <c r="P21"/>
      <c r="Q21" s="381">
        <v>0.7</v>
      </c>
      <c r="R21" s="362">
        <v>0.7</v>
      </c>
      <c r="S21" s="363">
        <v>0.7</v>
      </c>
      <c r="T21" s="364">
        <v>0.7</v>
      </c>
      <c r="U21"/>
      <c r="V21" s="1329">
        <v>0.03</v>
      </c>
      <c r="W21"/>
      <c r="X21" s="1330">
        <v>0.03</v>
      </c>
      <c r="Y21"/>
      <c r="Z21" s="1331">
        <v>0.1</v>
      </c>
      <c r="AA21"/>
      <c r="AB21" s="1332">
        <v>0.1</v>
      </c>
      <c r="AC21"/>
      <c r="AD21" s="1333">
        <v>20</v>
      </c>
      <c r="AE21"/>
      <c r="AF21" s="1327">
        <f>AF22-5%</f>
        <v>0.44999999999999962</v>
      </c>
      <c r="AG21"/>
      <c r="AH21" s="1328">
        <f>AH22-5%</f>
        <v>0.44999999999999962</v>
      </c>
      <c r="AJ21" s="1863">
        <v>18</v>
      </c>
    </row>
    <row r="22" spans="2:36" x14ac:dyDescent="0.3">
      <c r="D22" s="139">
        <v>5</v>
      </c>
      <c r="E22" s="147" t="str">
        <f ca="1">OFFSET(Scenarios!H$9,0,D22)</f>
        <v>4 - Base Case 2030</v>
      </c>
      <c r="G22" s="1339">
        <v>50</v>
      </c>
      <c r="H22"/>
      <c r="I22" s="442">
        <f t="shared" si="0"/>
        <v>7.5</v>
      </c>
      <c r="J22"/>
      <c r="K22" s="175">
        <v>50</v>
      </c>
      <c r="L22"/>
      <c r="M22" s="1322">
        <v>250</v>
      </c>
      <c r="N22"/>
      <c r="O22" s="1326">
        <v>5</v>
      </c>
      <c r="P22"/>
      <c r="Q22" s="381">
        <v>0.8</v>
      </c>
      <c r="R22" s="362">
        <v>0.8</v>
      </c>
      <c r="S22" s="363">
        <v>0.8</v>
      </c>
      <c r="T22" s="364">
        <v>0.8</v>
      </c>
      <c r="U22"/>
      <c r="V22" s="1329">
        <v>0.05</v>
      </c>
      <c r="W22"/>
      <c r="X22" s="1330">
        <v>0.05</v>
      </c>
      <c r="Y22"/>
      <c r="Z22" s="1331">
        <v>0.15</v>
      </c>
      <c r="AA22"/>
      <c r="AB22" s="1332">
        <v>0.15</v>
      </c>
      <c r="AC22"/>
      <c r="AD22" s="1333">
        <v>25</v>
      </c>
      <c r="AE22"/>
      <c r="AF22" s="1327">
        <f>AF23-5%</f>
        <v>0.49999999999999961</v>
      </c>
      <c r="AG22"/>
      <c r="AH22" s="1328">
        <f>AH23-5%</f>
        <v>0.49999999999999961</v>
      </c>
      <c r="AJ22" s="1863">
        <v>20</v>
      </c>
    </row>
    <row r="23" spans="2:36" x14ac:dyDescent="0.3">
      <c r="D23" s="139">
        <v>6</v>
      </c>
      <c r="E23" s="147" t="str">
        <f ca="1">OFFSET(Scenarios!H$9,0,D23)</f>
        <v>5 - High Case AP5 Onshore - 2035</v>
      </c>
      <c r="G23" s="1339">
        <v>60</v>
      </c>
      <c r="H23"/>
      <c r="I23" s="442">
        <f t="shared" si="0"/>
        <v>8</v>
      </c>
      <c r="J23"/>
      <c r="K23" s="175">
        <v>100</v>
      </c>
      <c r="L23"/>
      <c r="M23" s="1322">
        <v>500</v>
      </c>
      <c r="N23"/>
      <c r="O23" s="1326">
        <v>7</v>
      </c>
      <c r="P23"/>
      <c r="Q23" s="381">
        <v>0.9</v>
      </c>
      <c r="R23" s="362">
        <v>0.9</v>
      </c>
      <c r="S23" s="363">
        <v>0.9</v>
      </c>
      <c r="T23" s="364">
        <v>0.9</v>
      </c>
      <c r="U23"/>
      <c r="V23" s="1329">
        <v>0.06</v>
      </c>
      <c r="W23"/>
      <c r="X23" s="1330">
        <v>0.06</v>
      </c>
      <c r="Y23"/>
      <c r="Z23" s="1331">
        <v>0.2</v>
      </c>
      <c r="AA23"/>
      <c r="AB23" s="1332">
        <v>0.2</v>
      </c>
      <c r="AC23"/>
      <c r="AD23" s="1333">
        <v>30</v>
      </c>
      <c r="AE23"/>
      <c r="AF23" s="1327">
        <f>AF24-5%</f>
        <v>0.5499999999999996</v>
      </c>
      <c r="AG23"/>
      <c r="AH23" s="1328">
        <f>AH24-5%</f>
        <v>0.5499999999999996</v>
      </c>
      <c r="AJ23" s="1863">
        <v>22</v>
      </c>
    </row>
    <row r="24" spans="2:36" x14ac:dyDescent="0.3">
      <c r="C24" s="1341" t="s">
        <v>1031</v>
      </c>
      <c r="D24" s="139">
        <v>7</v>
      </c>
      <c r="E24" s="147" t="str">
        <f ca="1">OFFSET(Scenarios!H$9,0,D24)</f>
        <v>6 - High Case AP5 Onshore - 2035</v>
      </c>
      <c r="G24" s="1339">
        <v>70</v>
      </c>
      <c r="H24"/>
      <c r="I24" s="442">
        <f t="shared" si="0"/>
        <v>8.5</v>
      </c>
      <c r="J24"/>
      <c r="K24" s="175">
        <v>200</v>
      </c>
      <c r="L24"/>
      <c r="M24" s="1322">
        <v>750</v>
      </c>
      <c r="N24"/>
      <c r="O24" s="1326">
        <v>10</v>
      </c>
      <c r="P24"/>
      <c r="Q24" s="381">
        <v>1</v>
      </c>
      <c r="R24" s="362">
        <v>1</v>
      </c>
      <c r="S24" s="363">
        <v>1</v>
      </c>
      <c r="T24" s="364">
        <v>1</v>
      </c>
      <c r="U24"/>
      <c r="V24" s="1329">
        <v>7.0000000000000007E-2</v>
      </c>
      <c r="W24"/>
      <c r="X24" s="1330">
        <v>7.0000000000000007E-2</v>
      </c>
      <c r="Y24"/>
      <c r="Z24" s="1331">
        <v>0.25</v>
      </c>
      <c r="AA24"/>
      <c r="AB24" s="1332">
        <v>0.25</v>
      </c>
      <c r="AC24"/>
      <c r="AD24"/>
      <c r="AE24"/>
      <c r="AF24" s="1327">
        <f t="shared" ref="AF24:AF30" si="1">AF25-5%</f>
        <v>0.59999999999999964</v>
      </c>
      <c r="AG24"/>
      <c r="AH24" s="1328">
        <f t="shared" ref="AH24:AH30" si="2">AH25-5%</f>
        <v>0.59999999999999964</v>
      </c>
      <c r="AJ24" s="1863">
        <v>24</v>
      </c>
    </row>
    <row r="25" spans="2:36" x14ac:dyDescent="0.3">
      <c r="C25" s="146" t="b">
        <v>1</v>
      </c>
      <c r="D25" s="139">
        <v>8</v>
      </c>
      <c r="E25" s="147" t="str">
        <f ca="1">OFFSET(Scenarios!H$9,0,D25)</f>
        <v>7 - High Case AP6 Offshore 2035</v>
      </c>
      <c r="G25" s="1339">
        <v>80</v>
      </c>
      <c r="H25"/>
      <c r="I25" s="442">
        <f t="shared" si="0"/>
        <v>9</v>
      </c>
      <c r="J25"/>
      <c r="K25" s="175">
        <v>500</v>
      </c>
      <c r="L25"/>
      <c r="M25" s="1322">
        <v>1000</v>
      </c>
      <c r="N25"/>
      <c r="O25" s="1326">
        <v>20</v>
      </c>
      <c r="P25"/>
      <c r="Q25" s="381">
        <v>1.1000000000000001</v>
      </c>
      <c r="R25" s="362">
        <v>1.1000000000000001</v>
      </c>
      <c r="S25" s="363">
        <v>1.1000000000000001</v>
      </c>
      <c r="T25" s="364">
        <v>1.1000000000000001</v>
      </c>
      <c r="U25"/>
      <c r="V25" s="1329">
        <v>0.08</v>
      </c>
      <c r="W25"/>
      <c r="X25" s="1330">
        <v>0.08</v>
      </c>
      <c r="Y25"/>
      <c r="Z25" s="1331">
        <v>0.3</v>
      </c>
      <c r="AA25"/>
      <c r="AB25" s="1332">
        <v>0.3</v>
      </c>
      <c r="AC25"/>
      <c r="AD25"/>
      <c r="AE25"/>
      <c r="AF25" s="1327">
        <f t="shared" si="1"/>
        <v>0.64999999999999969</v>
      </c>
      <c r="AG25"/>
      <c r="AH25" s="1328">
        <f t="shared" si="2"/>
        <v>0.64999999999999969</v>
      </c>
      <c r="AJ25" s="1863">
        <v>26</v>
      </c>
    </row>
    <row r="26" spans="2:36" x14ac:dyDescent="0.3">
      <c r="C26" s="1341" t="s">
        <v>1032</v>
      </c>
      <c r="D26" s="139">
        <v>9</v>
      </c>
      <c r="E26" s="147" t="str">
        <f ca="1">OFFSET(Scenarios!H$9,0,D26)</f>
        <v>8 - Best Case AP5 - Onshore 2040</v>
      </c>
      <c r="G26" s="1339">
        <v>90</v>
      </c>
      <c r="H26"/>
      <c r="I26" s="442">
        <f t="shared" si="0"/>
        <v>9.5</v>
      </c>
      <c r="J26"/>
      <c r="K26" s="175">
        <v>1000</v>
      </c>
      <c r="L26"/>
      <c r="M26" s="1322">
        <v>1500</v>
      </c>
      <c r="N26"/>
      <c r="O26" s="1326">
        <v>30</v>
      </c>
      <c r="P26"/>
      <c r="Q26" s="381">
        <v>1.2</v>
      </c>
      <c r="R26" s="362">
        <v>1.2</v>
      </c>
      <c r="S26" s="363">
        <v>1.2</v>
      </c>
      <c r="T26" s="364">
        <v>1.2</v>
      </c>
      <c r="U26"/>
      <c r="V26" s="1329">
        <v>0.09</v>
      </c>
      <c r="W26"/>
      <c r="X26" s="1330">
        <v>0.09</v>
      </c>
      <c r="Y26"/>
      <c r="Z26" s="1331">
        <v>0.4</v>
      </c>
      <c r="AA26"/>
      <c r="AB26" s="1332">
        <v>0.4</v>
      </c>
      <c r="AC26"/>
      <c r="AD26"/>
      <c r="AE26"/>
      <c r="AF26" s="1327">
        <f t="shared" si="1"/>
        <v>0.69999999999999973</v>
      </c>
      <c r="AG26"/>
      <c r="AH26" s="1328">
        <f t="shared" si="2"/>
        <v>0.69999999999999973</v>
      </c>
      <c r="AJ26" s="1863">
        <v>28</v>
      </c>
    </row>
    <row r="27" spans="2:36" x14ac:dyDescent="0.3">
      <c r="C27" s="146" t="b">
        <v>0</v>
      </c>
      <c r="D27" s="139">
        <v>10</v>
      </c>
      <c r="E27" s="147" t="str">
        <f ca="1">OFFSET(Scenarios!H$9,0,D27)</f>
        <v>9 - Best Case AP6 Offshore 2040</v>
      </c>
      <c r="G27" s="1339">
        <v>125</v>
      </c>
      <c r="H27"/>
      <c r="I27" s="442">
        <f t="shared" si="0"/>
        <v>10</v>
      </c>
      <c r="J27"/>
      <c r="K27" s="175">
        <v>2000</v>
      </c>
      <c r="L27"/>
      <c r="M27" s="1322">
        <v>2500</v>
      </c>
      <c r="N27"/>
      <c r="O27" s="1326">
        <v>35</v>
      </c>
      <c r="P27"/>
      <c r="Q27" s="381">
        <v>1.3</v>
      </c>
      <c r="R27" s="362">
        <v>1.3</v>
      </c>
      <c r="S27" s="363">
        <v>1.3</v>
      </c>
      <c r="T27" s="364">
        <v>1.3</v>
      </c>
      <c r="U27"/>
      <c r="V27" s="1329">
        <v>0.1</v>
      </c>
      <c r="W27"/>
      <c r="X27" s="1330">
        <v>0.1</v>
      </c>
      <c r="Y27"/>
      <c r="Z27" s="1331">
        <v>0.5</v>
      </c>
      <c r="AA27"/>
      <c r="AB27" s="1332">
        <v>0.5</v>
      </c>
      <c r="AC27"/>
      <c r="AD27"/>
      <c r="AE27"/>
      <c r="AF27" s="1327">
        <f t="shared" si="1"/>
        <v>0.74999999999999978</v>
      </c>
      <c r="AG27"/>
      <c r="AH27" s="1328">
        <f t="shared" si="2"/>
        <v>0.74999999999999978</v>
      </c>
      <c r="AJ27" s="1863">
        <v>30</v>
      </c>
    </row>
    <row r="28" spans="2:36" x14ac:dyDescent="0.3">
      <c r="C28" s="1341" t="s">
        <v>1033</v>
      </c>
      <c r="D28" s="139">
        <v>11</v>
      </c>
      <c r="E28" s="147" t="str">
        <f ca="1">OFFSET(Scenarios!H$9,0,D28)</f>
        <v>10 - Model run - external</v>
      </c>
      <c r="G28" s="1339">
        <v>150</v>
      </c>
      <c r="H28"/>
      <c r="I28" s="442">
        <f t="shared" si="0"/>
        <v>10.5</v>
      </c>
      <c r="J28"/>
      <c r="K28" s="175">
        <f>K25*10</f>
        <v>5000</v>
      </c>
      <c r="L28"/>
      <c r="M28" s="1322">
        <v>3500</v>
      </c>
      <c r="N28"/>
      <c r="O28" s="1326">
        <v>40</v>
      </c>
      <c r="P28"/>
      <c r="Q28" s="381">
        <v>1.4</v>
      </c>
      <c r="R28" s="362">
        <v>1.4</v>
      </c>
      <c r="S28" s="363">
        <v>1.4</v>
      </c>
      <c r="T28" s="364">
        <v>1.4</v>
      </c>
      <c r="U28"/>
      <c r="V28" s="1329">
        <v>0.11</v>
      </c>
      <c r="W28"/>
      <c r="X28" s="1330">
        <v>0.11</v>
      </c>
      <c r="Y28"/>
      <c r="Z28" s="1331">
        <v>0.6</v>
      </c>
      <c r="AA28"/>
      <c r="AB28" s="1332">
        <v>0.6</v>
      </c>
      <c r="AC28"/>
      <c r="AD28"/>
      <c r="AE28"/>
      <c r="AF28" s="1327">
        <f t="shared" si="1"/>
        <v>0.79999999999999982</v>
      </c>
      <c r="AG28"/>
      <c r="AH28" s="1328">
        <f t="shared" si="2"/>
        <v>0.79999999999999982</v>
      </c>
      <c r="AJ28" s="1863">
        <v>32</v>
      </c>
    </row>
    <row r="29" spans="2:36" x14ac:dyDescent="0.3">
      <c r="C29" s="146" t="b">
        <v>0</v>
      </c>
      <c r="D29" s="139">
        <v>12</v>
      </c>
      <c r="E29" s="147">
        <f ca="1">OFFSET(Scenarios!H$9,0,D29)</f>
        <v>0</v>
      </c>
      <c r="G29" s="1339">
        <v>200</v>
      </c>
      <c r="H29"/>
      <c r="I29" s="442">
        <v>11</v>
      </c>
      <c r="J29"/>
      <c r="K29" s="175">
        <v>7000</v>
      </c>
      <c r="L29"/>
      <c r="M29" s="1322">
        <v>5000</v>
      </c>
      <c r="N29"/>
      <c r="O29" s="1326">
        <v>50</v>
      </c>
      <c r="P29"/>
      <c r="Q29" s="381">
        <v>1.5</v>
      </c>
      <c r="R29" s="362">
        <v>1.5</v>
      </c>
      <c r="S29" s="363">
        <v>1.5</v>
      </c>
      <c r="T29" s="364">
        <v>1.5</v>
      </c>
      <c r="U29"/>
      <c r="V29" s="1329">
        <v>0.12</v>
      </c>
      <c r="W29"/>
      <c r="X29" s="1330">
        <v>0.12</v>
      </c>
      <c r="Y29"/>
      <c r="Z29" s="1331">
        <v>0.7</v>
      </c>
      <c r="AA29"/>
      <c r="AB29" s="1332">
        <v>0.7</v>
      </c>
      <c r="AC29"/>
      <c r="AD29"/>
      <c r="AE29"/>
      <c r="AF29" s="1327">
        <f t="shared" si="1"/>
        <v>0.84999999999999987</v>
      </c>
      <c r="AG29"/>
      <c r="AH29" s="1328">
        <f t="shared" si="2"/>
        <v>0.84999999999999987</v>
      </c>
      <c r="AJ29" s="1863">
        <v>34</v>
      </c>
    </row>
    <row r="30" spans="2:36" x14ac:dyDescent="0.3">
      <c r="D30" s="139">
        <v>13</v>
      </c>
      <c r="E30" s="147">
        <f ca="1">OFFSET(Scenarios!H$9,0,D30)</f>
        <v>0</v>
      </c>
      <c r="G30" s="1339">
        <v>250</v>
      </c>
      <c r="H30"/>
      <c r="I30" s="442">
        <v>11.5</v>
      </c>
      <c r="J30"/>
      <c r="K30" s="175">
        <v>10000</v>
      </c>
      <c r="L30"/>
      <c r="M30" s="1322">
        <v>7000</v>
      </c>
      <c r="N30"/>
      <c r="O30" s="1326">
        <v>70</v>
      </c>
      <c r="P30"/>
      <c r="Q30" s="381">
        <v>1.6</v>
      </c>
      <c r="R30" s="362">
        <v>1.6</v>
      </c>
      <c r="S30" s="363">
        <v>1.6</v>
      </c>
      <c r="T30" s="364">
        <v>1.6</v>
      </c>
      <c r="U30"/>
      <c r="V30" s="1329">
        <v>0.15</v>
      </c>
      <c r="W30"/>
      <c r="X30" s="1330">
        <v>0.13</v>
      </c>
      <c r="Y30"/>
      <c r="Z30" s="1331">
        <v>0.8</v>
      </c>
      <c r="AA30"/>
      <c r="AB30" s="1332">
        <v>0.8</v>
      </c>
      <c r="AC30"/>
      <c r="AD30"/>
      <c r="AE30"/>
      <c r="AF30" s="1327">
        <f t="shared" si="1"/>
        <v>0.89999999999999991</v>
      </c>
      <c r="AG30"/>
      <c r="AH30" s="1328">
        <f t="shared" si="2"/>
        <v>0.89999999999999991</v>
      </c>
      <c r="AJ30" s="1863">
        <v>36</v>
      </c>
    </row>
    <row r="31" spans="2:36" x14ac:dyDescent="0.3">
      <c r="G31" s="1339">
        <v>300</v>
      </c>
      <c r="H31"/>
      <c r="I31" s="442">
        <v>12</v>
      </c>
      <c r="J31"/>
      <c r="K31" s="175">
        <v>15000</v>
      </c>
      <c r="L31"/>
      <c r="M31" s="1322">
        <v>10000</v>
      </c>
      <c r="N31"/>
      <c r="O31" s="1326">
        <v>100</v>
      </c>
      <c r="P31"/>
      <c r="Q31" s="381">
        <v>1.8</v>
      </c>
      <c r="R31" s="362">
        <v>1.8</v>
      </c>
      <c r="S31" s="363">
        <v>1.8</v>
      </c>
      <c r="T31" s="364">
        <v>1.8</v>
      </c>
      <c r="U31"/>
      <c r="V31" s="1329">
        <v>0.2</v>
      </c>
      <c r="W31"/>
      <c r="X31" s="1330">
        <v>0.14000000000000001</v>
      </c>
      <c r="Y31"/>
      <c r="Z31" s="1331">
        <v>0.9</v>
      </c>
      <c r="AA31"/>
      <c r="AB31" s="1332">
        <v>0.9</v>
      </c>
      <c r="AC31"/>
      <c r="AD31"/>
      <c r="AE31"/>
      <c r="AF31" s="1327">
        <f>AF32-5%</f>
        <v>0.95</v>
      </c>
      <c r="AG31"/>
      <c r="AH31" s="1328">
        <f>AH32-5%</f>
        <v>0.95</v>
      </c>
      <c r="AJ31" s="1863">
        <v>38</v>
      </c>
    </row>
    <row r="32" spans="2:36" x14ac:dyDescent="0.3">
      <c r="G32" s="1339">
        <v>350</v>
      </c>
      <c r="H32"/>
      <c r="I32" s="442">
        <f t="shared" si="0"/>
        <v>12.5</v>
      </c>
      <c r="J32"/>
      <c r="K32" s="175">
        <v>25000</v>
      </c>
      <c r="L32"/>
      <c r="M32" s="1322">
        <v>15000</v>
      </c>
      <c r="N32"/>
      <c r="O32" s="1326">
        <v>200</v>
      </c>
      <c r="P32"/>
      <c r="Q32" s="381">
        <v>2</v>
      </c>
      <c r="R32" s="362">
        <v>2</v>
      </c>
      <c r="S32" s="363">
        <v>2</v>
      </c>
      <c r="T32" s="364">
        <v>2</v>
      </c>
      <c r="U32"/>
      <c r="V32" s="1329">
        <v>0.25</v>
      </c>
      <c r="W32"/>
      <c r="X32" s="1330">
        <v>0.15</v>
      </c>
      <c r="Y32"/>
      <c r="Z32" s="1331">
        <v>1</v>
      </c>
      <c r="AA32"/>
      <c r="AB32" s="1332">
        <v>1</v>
      </c>
      <c r="AC32"/>
      <c r="AD32"/>
      <c r="AE32"/>
      <c r="AF32" s="1327">
        <v>1</v>
      </c>
      <c r="AG32"/>
      <c r="AH32" s="1328">
        <v>1</v>
      </c>
      <c r="AJ32" s="1863">
        <v>40</v>
      </c>
    </row>
    <row r="37" spans="5:5" x14ac:dyDescent="0.3">
      <c r="E37" s="349" t="s">
        <v>573</v>
      </c>
    </row>
    <row r="38" spans="5:5" x14ac:dyDescent="0.3">
      <c r="E38" s="382">
        <v>2</v>
      </c>
    </row>
    <row r="41" spans="5:5" x14ac:dyDescent="0.3">
      <c r="E41" s="383">
        <v>1</v>
      </c>
    </row>
    <row r="42" spans="5:5" x14ac:dyDescent="0.3">
      <c r="E42" s="382">
        <v>2</v>
      </c>
    </row>
    <row r="43" spans="5:5" x14ac:dyDescent="0.3">
      <c r="E43" s="382">
        <v>3</v>
      </c>
    </row>
    <row r="44" spans="5:5" x14ac:dyDescent="0.3">
      <c r="E44" s="382">
        <v>4</v>
      </c>
    </row>
    <row r="45" spans="5:5" x14ac:dyDescent="0.3">
      <c r="E45" s="382">
        <v>5</v>
      </c>
    </row>
  </sheetData>
  <dataValidations disablePrompts="1" count="1">
    <dataValidation type="list" allowBlank="1" showInputMessage="1" showErrorMessage="1" sqref="C10" xr:uid="{00000000-0002-0000-0200-000000000000}">
      <formula1>gen_types</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69" r:id="rId4" name="Drop Down 1">
              <controlPr defaultSize="0" autoLine="0" autoPict="0">
                <anchor moveWithCells="1">
                  <from>
                    <xdr:col>3</xdr:col>
                    <xdr:colOff>647700</xdr:colOff>
                    <xdr:row>34</xdr:row>
                    <xdr:rowOff>0</xdr:rowOff>
                  </from>
                  <to>
                    <xdr:col>5</xdr:col>
                    <xdr:colOff>57150</xdr:colOff>
                    <xdr:row>35</xdr:row>
                    <xdr:rowOff>28575</xdr:rowOff>
                  </to>
                </anchor>
              </controlPr>
            </control>
          </mc:Choice>
        </mc:AlternateContent>
        <mc:AlternateContent xmlns:mc="http://schemas.openxmlformats.org/markup-compatibility/2006">
          <mc:Choice Requires="x14">
            <control shapeId="7173" r:id="rId5" name="Drop Down 5">
              <controlPr defaultSize="0" autoLine="0" autoPict="0">
                <anchor moveWithCells="1">
                  <from>
                    <xdr:col>4</xdr:col>
                    <xdr:colOff>57150</xdr:colOff>
                    <xdr:row>7</xdr:row>
                    <xdr:rowOff>171450</xdr:rowOff>
                  </from>
                  <to>
                    <xdr:col>5</xdr:col>
                    <xdr:colOff>57150</xdr:colOff>
                    <xdr:row>9</xdr:row>
                    <xdr:rowOff>0</xdr:rowOff>
                  </to>
                </anchor>
              </controlPr>
            </control>
          </mc:Choice>
        </mc:AlternateContent>
        <mc:AlternateContent xmlns:mc="http://schemas.openxmlformats.org/markup-compatibility/2006">
          <mc:Choice Requires="x14">
            <control shapeId="7175" r:id="rId6" name="Drop Down 7">
              <controlPr defaultSize="0" autoLine="0" autoPict="0">
                <anchor moveWithCells="1">
                  <from>
                    <xdr:col>6</xdr:col>
                    <xdr:colOff>0</xdr:colOff>
                    <xdr:row>7</xdr:row>
                    <xdr:rowOff>171450</xdr:rowOff>
                  </from>
                  <to>
                    <xdr:col>6</xdr:col>
                    <xdr:colOff>752475</xdr:colOff>
                    <xdr:row>9</xdr:row>
                    <xdr:rowOff>0</xdr:rowOff>
                  </to>
                </anchor>
              </controlPr>
            </control>
          </mc:Choice>
        </mc:AlternateContent>
        <mc:AlternateContent xmlns:mc="http://schemas.openxmlformats.org/markup-compatibility/2006">
          <mc:Choice Requires="x14">
            <control shapeId="7176" r:id="rId7" name="Drop Down 8">
              <controlPr defaultSize="0" autoLine="0" autoPict="0">
                <anchor moveWithCells="1">
                  <from>
                    <xdr:col>7</xdr:col>
                    <xdr:colOff>657225</xdr:colOff>
                    <xdr:row>7</xdr:row>
                    <xdr:rowOff>171450</xdr:rowOff>
                  </from>
                  <to>
                    <xdr:col>9</xdr:col>
                    <xdr:colOff>66675</xdr:colOff>
                    <xdr:row>9</xdr:row>
                    <xdr:rowOff>0</xdr:rowOff>
                  </to>
                </anchor>
              </controlPr>
            </control>
          </mc:Choice>
        </mc:AlternateContent>
        <mc:AlternateContent xmlns:mc="http://schemas.openxmlformats.org/markup-compatibility/2006">
          <mc:Choice Requires="x14">
            <control shapeId="7177" r:id="rId8" name="Drop Down 9">
              <controlPr defaultSize="0" autoLine="0" autoPict="0">
                <anchor moveWithCells="1">
                  <from>
                    <xdr:col>11</xdr:col>
                    <xdr:colOff>676275</xdr:colOff>
                    <xdr:row>7</xdr:row>
                    <xdr:rowOff>171450</xdr:rowOff>
                  </from>
                  <to>
                    <xdr:col>13</xdr:col>
                    <xdr:colOff>85725</xdr:colOff>
                    <xdr:row>9</xdr:row>
                    <xdr:rowOff>0</xdr:rowOff>
                  </to>
                </anchor>
              </controlPr>
            </control>
          </mc:Choice>
        </mc:AlternateContent>
        <mc:AlternateContent xmlns:mc="http://schemas.openxmlformats.org/markup-compatibility/2006">
          <mc:Choice Requires="x14">
            <control shapeId="7178" r:id="rId9" name="Drop Down 10">
              <controlPr defaultSize="0" autoLine="0" autoPict="0">
                <anchor moveWithCells="1">
                  <from>
                    <xdr:col>14</xdr:col>
                    <xdr:colOff>47625</xdr:colOff>
                    <xdr:row>7</xdr:row>
                    <xdr:rowOff>114300</xdr:rowOff>
                  </from>
                  <to>
                    <xdr:col>15</xdr:col>
                    <xdr:colOff>57150</xdr:colOff>
                    <xdr:row>8</xdr:row>
                    <xdr:rowOff>95250</xdr:rowOff>
                  </to>
                </anchor>
              </controlPr>
            </control>
          </mc:Choice>
        </mc:AlternateContent>
        <mc:AlternateContent xmlns:mc="http://schemas.openxmlformats.org/markup-compatibility/2006">
          <mc:Choice Requires="x14">
            <control shapeId="7180" r:id="rId10" name="Drop Down 12">
              <controlPr defaultSize="0" autoLine="0" autoPict="0">
                <anchor moveWithCells="1">
                  <from>
                    <xdr:col>17</xdr:col>
                    <xdr:colOff>76200</xdr:colOff>
                    <xdr:row>7</xdr:row>
                    <xdr:rowOff>114300</xdr:rowOff>
                  </from>
                  <to>
                    <xdr:col>18</xdr:col>
                    <xdr:colOff>0</xdr:colOff>
                    <xdr:row>8</xdr:row>
                    <xdr:rowOff>95250</xdr:rowOff>
                  </to>
                </anchor>
              </controlPr>
            </control>
          </mc:Choice>
        </mc:AlternateContent>
        <mc:AlternateContent xmlns:mc="http://schemas.openxmlformats.org/markup-compatibility/2006">
          <mc:Choice Requires="x14">
            <control shapeId="7182" r:id="rId11" name="Drop Down 14">
              <controlPr defaultSize="0" autoLine="0" autoPict="0">
                <anchor moveWithCells="1">
                  <from>
                    <xdr:col>18</xdr:col>
                    <xdr:colOff>38100</xdr:colOff>
                    <xdr:row>7</xdr:row>
                    <xdr:rowOff>114300</xdr:rowOff>
                  </from>
                  <to>
                    <xdr:col>19</xdr:col>
                    <xdr:colOff>0</xdr:colOff>
                    <xdr:row>8</xdr:row>
                    <xdr:rowOff>95250</xdr:rowOff>
                  </to>
                </anchor>
              </controlPr>
            </control>
          </mc:Choice>
        </mc:AlternateContent>
        <mc:AlternateContent xmlns:mc="http://schemas.openxmlformats.org/markup-compatibility/2006">
          <mc:Choice Requires="x14">
            <control shapeId="7183" r:id="rId12" name="Drop Down 15">
              <controlPr defaultSize="0" autoLine="0" autoPict="0">
                <anchor moveWithCells="1">
                  <from>
                    <xdr:col>19</xdr:col>
                    <xdr:colOff>76200</xdr:colOff>
                    <xdr:row>7</xdr:row>
                    <xdr:rowOff>114300</xdr:rowOff>
                  </from>
                  <to>
                    <xdr:col>20</xdr:col>
                    <xdr:colOff>0</xdr:colOff>
                    <xdr:row>8</xdr:row>
                    <xdr:rowOff>95250</xdr:rowOff>
                  </to>
                </anchor>
              </controlPr>
            </control>
          </mc:Choice>
        </mc:AlternateContent>
        <mc:AlternateContent xmlns:mc="http://schemas.openxmlformats.org/markup-compatibility/2006">
          <mc:Choice Requires="x14">
            <control shapeId="7184" r:id="rId13" name="Drop Down 16">
              <controlPr defaultSize="0" autoLine="0" autoPict="0">
                <anchor moveWithCells="1">
                  <from>
                    <xdr:col>9</xdr:col>
                    <xdr:colOff>676275</xdr:colOff>
                    <xdr:row>7</xdr:row>
                    <xdr:rowOff>171450</xdr:rowOff>
                  </from>
                  <to>
                    <xdr:col>11</xdr:col>
                    <xdr:colOff>85725</xdr:colOff>
                    <xdr:row>9</xdr:row>
                    <xdr:rowOff>0</xdr:rowOff>
                  </to>
                </anchor>
              </controlPr>
            </control>
          </mc:Choice>
        </mc:AlternateContent>
        <mc:AlternateContent xmlns:mc="http://schemas.openxmlformats.org/markup-compatibility/2006">
          <mc:Choice Requires="x14">
            <control shapeId="7185" r:id="rId14" name="Drop Down 17">
              <controlPr defaultSize="0" autoLine="0" autoPict="0">
                <anchor moveWithCells="1">
                  <from>
                    <xdr:col>20</xdr:col>
                    <xdr:colOff>685800</xdr:colOff>
                    <xdr:row>7</xdr:row>
                    <xdr:rowOff>114300</xdr:rowOff>
                  </from>
                  <to>
                    <xdr:col>21</xdr:col>
                    <xdr:colOff>1133475</xdr:colOff>
                    <xdr:row>8</xdr:row>
                    <xdr:rowOff>95250</xdr:rowOff>
                  </to>
                </anchor>
              </controlPr>
            </control>
          </mc:Choice>
        </mc:AlternateContent>
        <mc:AlternateContent xmlns:mc="http://schemas.openxmlformats.org/markup-compatibility/2006">
          <mc:Choice Requires="x14">
            <control shapeId="7186" r:id="rId15" name="Drop Down 18">
              <controlPr defaultSize="0" autoLine="0" autoPict="0">
                <anchor moveWithCells="1">
                  <from>
                    <xdr:col>23</xdr:col>
                    <xdr:colOff>57150</xdr:colOff>
                    <xdr:row>7</xdr:row>
                    <xdr:rowOff>114300</xdr:rowOff>
                  </from>
                  <to>
                    <xdr:col>24</xdr:col>
                    <xdr:colOff>0</xdr:colOff>
                    <xdr:row>8</xdr:row>
                    <xdr:rowOff>95250</xdr:rowOff>
                  </to>
                </anchor>
              </controlPr>
            </control>
          </mc:Choice>
        </mc:AlternateContent>
        <mc:AlternateContent xmlns:mc="http://schemas.openxmlformats.org/markup-compatibility/2006">
          <mc:Choice Requires="x14">
            <control shapeId="7187" r:id="rId16" name="Drop Down 19">
              <controlPr defaultSize="0" autoLine="0" autoPict="0">
                <anchor moveWithCells="1">
                  <from>
                    <xdr:col>25</xdr:col>
                    <xdr:colOff>28575</xdr:colOff>
                    <xdr:row>7</xdr:row>
                    <xdr:rowOff>114300</xdr:rowOff>
                  </from>
                  <to>
                    <xdr:col>26</xdr:col>
                    <xdr:colOff>0</xdr:colOff>
                    <xdr:row>8</xdr:row>
                    <xdr:rowOff>95250</xdr:rowOff>
                  </to>
                </anchor>
              </controlPr>
            </control>
          </mc:Choice>
        </mc:AlternateContent>
        <mc:AlternateContent xmlns:mc="http://schemas.openxmlformats.org/markup-compatibility/2006">
          <mc:Choice Requires="x14">
            <control shapeId="7188" r:id="rId17" name="Drop Down 20">
              <controlPr defaultSize="0" autoLine="0" autoPict="0">
                <anchor moveWithCells="1">
                  <from>
                    <xdr:col>27</xdr:col>
                    <xdr:colOff>95250</xdr:colOff>
                    <xdr:row>7</xdr:row>
                    <xdr:rowOff>114300</xdr:rowOff>
                  </from>
                  <to>
                    <xdr:col>28</xdr:col>
                    <xdr:colOff>0</xdr:colOff>
                    <xdr:row>8</xdr:row>
                    <xdr:rowOff>95250</xdr:rowOff>
                  </to>
                </anchor>
              </controlPr>
            </control>
          </mc:Choice>
        </mc:AlternateContent>
        <mc:AlternateContent xmlns:mc="http://schemas.openxmlformats.org/markup-compatibility/2006">
          <mc:Choice Requires="x14">
            <control shapeId="7189" r:id="rId18" name="Check Box 21">
              <controlPr defaultSize="0" autoFill="0" autoLine="0" autoPict="0">
                <anchor moveWithCells="1">
                  <from>
                    <xdr:col>1</xdr:col>
                    <xdr:colOff>19050</xdr:colOff>
                    <xdr:row>23</xdr:row>
                    <xdr:rowOff>133350</xdr:rowOff>
                  </from>
                  <to>
                    <xdr:col>1</xdr:col>
                    <xdr:colOff>1123950</xdr:colOff>
                    <xdr:row>24</xdr:row>
                    <xdr:rowOff>142875</xdr:rowOff>
                  </to>
                </anchor>
              </controlPr>
            </control>
          </mc:Choice>
        </mc:AlternateContent>
        <mc:AlternateContent xmlns:mc="http://schemas.openxmlformats.org/markup-compatibility/2006">
          <mc:Choice Requires="x14">
            <control shapeId="7190" r:id="rId19" name="Check Box 22">
              <controlPr defaultSize="0" autoFill="0" autoLine="0" autoPict="0">
                <anchor moveWithCells="1">
                  <from>
                    <xdr:col>1</xdr:col>
                    <xdr:colOff>9525</xdr:colOff>
                    <xdr:row>25</xdr:row>
                    <xdr:rowOff>123825</xdr:rowOff>
                  </from>
                  <to>
                    <xdr:col>1</xdr:col>
                    <xdr:colOff>1114425</xdr:colOff>
                    <xdr:row>26</xdr:row>
                    <xdr:rowOff>133350</xdr:rowOff>
                  </to>
                </anchor>
              </controlPr>
            </control>
          </mc:Choice>
        </mc:AlternateContent>
        <mc:AlternateContent xmlns:mc="http://schemas.openxmlformats.org/markup-compatibility/2006">
          <mc:Choice Requires="x14">
            <control shapeId="7191" r:id="rId20" name="Check Box 23">
              <controlPr defaultSize="0" autoFill="0" autoLine="0" autoPict="0">
                <anchor moveWithCells="1">
                  <from>
                    <xdr:col>1</xdr:col>
                    <xdr:colOff>9525</xdr:colOff>
                    <xdr:row>27</xdr:row>
                    <xdr:rowOff>123825</xdr:rowOff>
                  </from>
                  <to>
                    <xdr:col>1</xdr:col>
                    <xdr:colOff>1114425</xdr:colOff>
                    <xdr:row>28</xdr:row>
                    <xdr:rowOff>133350</xdr:rowOff>
                  </to>
                </anchor>
              </controlPr>
            </control>
          </mc:Choice>
        </mc:AlternateContent>
        <mc:AlternateContent xmlns:mc="http://schemas.openxmlformats.org/markup-compatibility/2006">
          <mc:Choice Requires="x14">
            <control shapeId="7192" r:id="rId21" name="Drop Down 24">
              <controlPr defaultSize="0" autoLine="0" autoPict="0">
                <anchor moveWithCells="1">
                  <from>
                    <xdr:col>27</xdr:col>
                    <xdr:colOff>28575</xdr:colOff>
                    <xdr:row>7</xdr:row>
                    <xdr:rowOff>114300</xdr:rowOff>
                  </from>
                  <to>
                    <xdr:col>28</xdr:col>
                    <xdr:colOff>47625</xdr:colOff>
                    <xdr:row>8</xdr:row>
                    <xdr:rowOff>95250</xdr:rowOff>
                  </to>
                </anchor>
              </controlPr>
            </control>
          </mc:Choice>
        </mc:AlternateContent>
        <mc:AlternateContent xmlns:mc="http://schemas.openxmlformats.org/markup-compatibility/2006">
          <mc:Choice Requires="x14">
            <control shapeId="7193" r:id="rId22" name="Drop Down 25">
              <controlPr defaultSize="0" autoLine="0" autoPict="0">
                <anchor moveWithCells="1">
                  <from>
                    <xdr:col>29</xdr:col>
                    <xdr:colOff>95250</xdr:colOff>
                    <xdr:row>7</xdr:row>
                    <xdr:rowOff>114300</xdr:rowOff>
                  </from>
                  <to>
                    <xdr:col>30</xdr:col>
                    <xdr:colOff>0</xdr:colOff>
                    <xdr:row>8</xdr:row>
                    <xdr:rowOff>95250</xdr:rowOff>
                  </to>
                </anchor>
              </controlPr>
            </control>
          </mc:Choice>
        </mc:AlternateContent>
        <mc:AlternateContent xmlns:mc="http://schemas.openxmlformats.org/markup-compatibility/2006">
          <mc:Choice Requires="x14">
            <control shapeId="7195" r:id="rId23" name="Drop Down 27">
              <controlPr defaultSize="0" autoLine="0" autoPict="0">
                <anchor moveWithCells="1">
                  <from>
                    <xdr:col>31</xdr:col>
                    <xdr:colOff>95250</xdr:colOff>
                    <xdr:row>7</xdr:row>
                    <xdr:rowOff>114300</xdr:rowOff>
                  </from>
                  <to>
                    <xdr:col>32</xdr:col>
                    <xdr:colOff>0</xdr:colOff>
                    <xdr:row>8</xdr:row>
                    <xdr:rowOff>95250</xdr:rowOff>
                  </to>
                </anchor>
              </controlPr>
            </control>
          </mc:Choice>
        </mc:AlternateContent>
        <mc:AlternateContent xmlns:mc="http://schemas.openxmlformats.org/markup-compatibility/2006">
          <mc:Choice Requires="x14">
            <control shapeId="7196" r:id="rId24" name="Drop Down 28">
              <controlPr defaultSize="0" autoLine="0" autoPict="0">
                <anchor moveWithCells="1">
                  <from>
                    <xdr:col>31</xdr:col>
                    <xdr:colOff>28575</xdr:colOff>
                    <xdr:row>7</xdr:row>
                    <xdr:rowOff>114300</xdr:rowOff>
                  </from>
                  <to>
                    <xdr:col>32</xdr:col>
                    <xdr:colOff>47625</xdr:colOff>
                    <xdr:row>8</xdr:row>
                    <xdr:rowOff>95250</xdr:rowOff>
                  </to>
                </anchor>
              </controlPr>
            </control>
          </mc:Choice>
        </mc:AlternateContent>
        <mc:AlternateContent xmlns:mc="http://schemas.openxmlformats.org/markup-compatibility/2006">
          <mc:Choice Requires="x14">
            <control shapeId="7197" r:id="rId25" name="Drop Down 29">
              <controlPr defaultSize="0" autoLine="0" autoPict="0">
                <anchor moveWithCells="1">
                  <from>
                    <xdr:col>33</xdr:col>
                    <xdr:colOff>95250</xdr:colOff>
                    <xdr:row>7</xdr:row>
                    <xdr:rowOff>114300</xdr:rowOff>
                  </from>
                  <to>
                    <xdr:col>34</xdr:col>
                    <xdr:colOff>0</xdr:colOff>
                    <xdr:row>8</xdr:row>
                    <xdr:rowOff>95250</xdr:rowOff>
                  </to>
                </anchor>
              </controlPr>
            </control>
          </mc:Choice>
        </mc:AlternateContent>
        <mc:AlternateContent xmlns:mc="http://schemas.openxmlformats.org/markup-compatibility/2006">
          <mc:Choice Requires="x14">
            <control shapeId="7200" r:id="rId26" name="Drop Down 32">
              <controlPr defaultSize="0" autoLine="0" autoPict="0">
                <anchor moveWithCells="1">
                  <from>
                    <xdr:col>35</xdr:col>
                    <xdr:colOff>95250</xdr:colOff>
                    <xdr:row>7</xdr:row>
                    <xdr:rowOff>114300</xdr:rowOff>
                  </from>
                  <to>
                    <xdr:col>36</xdr:col>
                    <xdr:colOff>0</xdr:colOff>
                    <xdr:row>8</xdr:row>
                    <xdr:rowOff>95250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iconSet" priority="1" id="{9CB26903-C884-4C52-A2A7-A84A8003B9E8}">
            <x14:iconSet iconSet="3Symbols" custom="1">
              <x14:cfvo type="percent">
                <xm:f>0</xm:f>
              </x14:cfvo>
              <x14:cfvo type="num">
                <xm:f>0</xm:f>
              </x14:cfvo>
              <x14:cfvo type="num">
                <xm:f>1</xm:f>
              </x14:cfvo>
              <x14:cfIcon iconSet="NoIcons" iconId="0"/>
              <x14:cfIcon iconSet="NoIcons" iconId="0"/>
              <x14:cfIcon iconSet="3Symbols" iconId="2"/>
            </x14:iconSet>
          </x14:cfRule>
          <xm:sqref>H4:H6</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A85"/>
  <sheetViews>
    <sheetView showGridLines="0" zoomScale="85" zoomScaleNormal="85" workbookViewId="0">
      <pane xSplit="5" ySplit="7" topLeftCell="F8" activePane="bottomRight" state="frozen"/>
      <selection activeCell="L105" sqref="L105"/>
      <selection pane="topRight" activeCell="L105" sqref="L105"/>
      <selection pane="bottomLeft" activeCell="L105" sqref="L105"/>
      <selection pane="bottomRight" activeCell="K16" sqref="K16"/>
    </sheetView>
  </sheetViews>
  <sheetFormatPr defaultColWidth="16.375" defaultRowHeight="16.5" outlineLevelRow="1" outlineLevelCol="1" x14ac:dyDescent="0.3"/>
  <cols>
    <col min="1" max="1" width="4.375" style="1811" customWidth="1"/>
    <col min="2" max="2" width="4.375" style="1811" hidden="1" customWidth="1" outlineLevel="1"/>
    <col min="3" max="3" width="3.875" style="1717" customWidth="1" collapsed="1"/>
    <col min="4" max="4" width="29.625" style="1725" customWidth="1"/>
    <col min="5" max="5" width="13.375" style="1725" customWidth="1"/>
    <col min="6" max="6" width="14.375" style="1717" customWidth="1" outlineLevel="1"/>
    <col min="7" max="11" width="14.375" style="1717" customWidth="1"/>
    <col min="12" max="13" width="14.375" style="1717" hidden="1" customWidth="1" outlineLevel="1"/>
    <col min="14" max="14" width="14.375" style="1717" customWidth="1" collapsed="1"/>
    <col min="15" max="15" width="14.375" style="1717" customWidth="1"/>
    <col min="16" max="17" width="16.75" style="1717" customWidth="1" outlineLevel="1"/>
    <col min="18" max="18" width="6.375" style="1717" customWidth="1"/>
    <col min="19" max="19" width="15.375" style="1717" customWidth="1"/>
    <col min="20" max="20" width="22.375" style="1717" customWidth="1"/>
    <col min="21" max="21" width="18.375" style="1717" customWidth="1"/>
    <col min="22" max="22" width="31.125" style="1717" customWidth="1"/>
    <col min="23" max="23" width="12.125" style="1717" customWidth="1"/>
    <col min="24" max="24" width="31.375" style="1717" customWidth="1"/>
    <col min="25" max="25" width="10.875" style="1717" customWidth="1"/>
    <col min="26" max="26" width="31.375" style="1717" customWidth="1"/>
    <col min="27" max="27" width="9.375" style="1717" bestFit="1" customWidth="1"/>
    <col min="28" max="28" width="31.375" style="1717" customWidth="1"/>
    <col min="29" max="29" width="11.875" style="1717" customWidth="1"/>
    <col min="30" max="30" width="12.375" style="1717" customWidth="1"/>
    <col min="31" max="31" width="14.375" style="1717" customWidth="1" collapsed="1"/>
    <col min="32" max="32" width="17.125" style="1717" customWidth="1" collapsed="1"/>
    <col min="33" max="37" width="17.125" style="1717" customWidth="1"/>
    <col min="38" max="38" width="10.375" style="1717" customWidth="1"/>
    <col min="39" max="39" width="12.375" style="1717" customWidth="1"/>
    <col min="40" max="40" width="10.875" style="1754" customWidth="1"/>
    <col min="41" max="41" width="10.375" style="1717" customWidth="1"/>
    <col min="42" max="42" width="9.875" style="1717" customWidth="1"/>
    <col min="43" max="44" width="11.375" style="1717" customWidth="1"/>
    <col min="45" max="45" width="12" style="1717" customWidth="1"/>
    <col min="46" max="46" width="14.375" style="1717" customWidth="1"/>
    <col min="47" max="47" width="13.875" style="1717" customWidth="1"/>
    <col min="48" max="48" width="12.375" style="1717" customWidth="1"/>
    <col min="49" max="49" width="16" style="1717" customWidth="1"/>
    <col min="50" max="50" width="12.375" style="1717" customWidth="1"/>
    <col min="51" max="51" width="13.625" style="1717" customWidth="1"/>
    <col min="52" max="16384" width="16.375" style="1717"/>
  </cols>
  <sheetData>
    <row r="1" spans="1:53" ht="21" x14ac:dyDescent="0.4">
      <c r="A1" s="1810"/>
      <c r="B1" s="1810"/>
      <c r="D1" s="1753" t="s">
        <v>1514</v>
      </c>
      <c r="E1" s="1753"/>
      <c r="F1" s="1753"/>
      <c r="G1" s="1753"/>
      <c r="H1" s="1753"/>
      <c r="O1"/>
      <c r="P1"/>
      <c r="Q1"/>
      <c r="R1"/>
      <c r="S1"/>
      <c r="T1"/>
      <c r="U1"/>
      <c r="V1"/>
      <c r="W1"/>
      <c r="AF1"/>
      <c r="AG1"/>
      <c r="AH1"/>
      <c r="AI1"/>
      <c r="AJ1"/>
      <c r="AK1"/>
    </row>
    <row r="2" spans="1:53" x14ac:dyDescent="0.3">
      <c r="R2"/>
      <c r="S2"/>
      <c r="T2"/>
      <c r="U2"/>
      <c r="V2"/>
      <c r="W2"/>
      <c r="Y2"/>
      <c r="AA2"/>
      <c r="AC2"/>
      <c r="AD2"/>
      <c r="AL2"/>
      <c r="AM2"/>
      <c r="AN2"/>
      <c r="AO2"/>
      <c r="AP2"/>
      <c r="AQ2"/>
      <c r="AR2"/>
      <c r="AS2"/>
      <c r="AT2"/>
      <c r="AU2"/>
      <c r="AV2"/>
      <c r="AW2"/>
      <c r="AX2"/>
      <c r="AY2"/>
      <c r="AZ2"/>
      <c r="BA2"/>
    </row>
    <row r="3" spans="1:53" ht="22.5" customHeight="1" outlineLevel="1" x14ac:dyDescent="0.3">
      <c r="A3" s="1812"/>
      <c r="B3" s="1812"/>
      <c r="D3" s="1755" t="s">
        <v>1554</v>
      </c>
      <c r="E3"/>
      <c r="F3"/>
      <c r="H3" s="1818" t="s">
        <v>1593</v>
      </c>
      <c r="I3" s="1818"/>
      <c r="J3" s="1818"/>
      <c r="R3"/>
      <c r="S3"/>
      <c r="T3"/>
      <c r="U3" s="25"/>
      <c r="W3"/>
      <c r="X3"/>
      <c r="Y3"/>
      <c r="Z3"/>
      <c r="AA3"/>
      <c r="AB3"/>
      <c r="AC3"/>
      <c r="AD3"/>
      <c r="AE3" s="1717" t="s">
        <v>1627</v>
      </c>
      <c r="AF3"/>
      <c r="AG3"/>
      <c r="AH3"/>
      <c r="AI3"/>
      <c r="AJ3"/>
      <c r="AL3"/>
      <c r="AM3"/>
      <c r="AN3"/>
      <c r="AO3"/>
      <c r="AP3"/>
      <c r="AQ3"/>
      <c r="AR3"/>
      <c r="AS3"/>
      <c r="AT3"/>
      <c r="AU3"/>
      <c r="AV3"/>
      <c r="AW3"/>
      <c r="AX3"/>
      <c r="AY3"/>
      <c r="AZ3"/>
      <c r="BA3"/>
    </row>
    <row r="4" spans="1:53" ht="22.5" customHeight="1" x14ac:dyDescent="0.3">
      <c r="C4"/>
      <c r="D4" s="152"/>
      <c r="E4" s="1821">
        <v>7</v>
      </c>
      <c r="I4"/>
      <c r="J4"/>
      <c r="K4"/>
      <c r="N4"/>
      <c r="O4"/>
      <c r="P4"/>
      <c r="Q4"/>
      <c r="R4" s="1726"/>
      <c r="S4" s="1756" t="s">
        <v>1553</v>
      </c>
      <c r="T4" s="1757"/>
      <c r="U4"/>
      <c r="X4" s="1727"/>
      <c r="Y4" s="1727"/>
      <c r="Z4" s="1727"/>
      <c r="AB4" s="1727"/>
      <c r="AE4">
        <v>4</v>
      </c>
      <c r="AF4"/>
      <c r="AG4"/>
      <c r="AH4"/>
      <c r="AI4"/>
      <c r="AJ4"/>
      <c r="AK4"/>
      <c r="AM4"/>
      <c r="AN4"/>
      <c r="AO4"/>
      <c r="AP4"/>
      <c r="AQ4"/>
      <c r="AR4"/>
      <c r="AS4"/>
      <c r="AT4"/>
      <c r="AU4"/>
      <c r="AV4"/>
      <c r="AW4"/>
      <c r="AX4"/>
      <c r="AY4"/>
      <c r="AZ4"/>
      <c r="BA4"/>
    </row>
    <row r="5" spans="1:53" customFormat="1" ht="22.5" customHeight="1" x14ac:dyDescent="0.3">
      <c r="A5" s="1812"/>
      <c r="B5" s="1812"/>
      <c r="D5" s="1758" t="str">
        <f ca="1">OFFSET(D7,indicator,0)&amp;" ("&amp;E5&amp;")"</f>
        <v>Tether length (m)</v>
      </c>
      <c r="E5" s="1759" t="str">
        <f t="shared" ref="E5:P5" ca="1" si="0">OFFSET(E7,indicator,0)</f>
        <v>m</v>
      </c>
      <c r="F5" s="1759">
        <f t="shared" ca="1" si="0"/>
        <v>816.69382069232699</v>
      </c>
      <c r="G5" s="1759">
        <f t="shared" ca="1" si="0"/>
        <v>1217.3876105049831</v>
      </c>
      <c r="H5" s="1759">
        <f t="shared" ca="1" si="0"/>
        <v>1122.460179268799</v>
      </c>
      <c r="I5" s="1759">
        <f t="shared" ca="1" si="0"/>
        <v>1416.5331675617315</v>
      </c>
      <c r="J5" s="1759">
        <f t="shared" ca="1" si="0"/>
        <v>834.03632511516457</v>
      </c>
      <c r="K5" s="1759">
        <f t="shared" ca="1" si="0"/>
        <v>1114.5473855798061</v>
      </c>
      <c r="L5" s="1759">
        <f t="shared" ca="1" si="0"/>
        <v>816.69382069232699</v>
      </c>
      <c r="M5" s="1759">
        <f t="shared" ca="1" si="0"/>
        <v>1217.3876105049831</v>
      </c>
      <c r="N5" s="1759" t="str">
        <f t="shared" ca="1" si="0"/>
        <v>-</v>
      </c>
      <c r="O5" s="1759" t="str">
        <f t="shared" ca="1" si="0"/>
        <v>-</v>
      </c>
      <c r="P5" s="1759" t="str">
        <f t="shared" ca="1" si="0"/>
        <v>-</v>
      </c>
      <c r="Q5" s="1759" t="str">
        <f ca="1">OFFSET(Q7,indicator,0)</f>
        <v>-</v>
      </c>
      <c r="S5" s="1756"/>
      <c r="T5" s="1757"/>
      <c r="V5" s="1717"/>
      <c r="W5" s="1717"/>
      <c r="AE5" s="1759" t="str">
        <f t="shared" ref="AE5:AK5" ca="1" si="1">OFFSET(AE7,indicator,0)</f>
        <v>-</v>
      </c>
      <c r="AF5" s="1759">
        <f t="shared" ca="1" si="1"/>
        <v>0</v>
      </c>
      <c r="AG5" s="1759">
        <f t="shared" ca="1" si="1"/>
        <v>0</v>
      </c>
      <c r="AH5" s="1759">
        <f t="shared" ca="1" si="1"/>
        <v>0</v>
      </c>
      <c r="AI5" s="1759">
        <f t="shared" ca="1" si="1"/>
        <v>0</v>
      </c>
      <c r="AJ5" s="1759">
        <f t="shared" ca="1" si="1"/>
        <v>0</v>
      </c>
      <c r="AK5" s="1759">
        <f t="shared" ca="1" si="1"/>
        <v>0</v>
      </c>
    </row>
    <row r="6" spans="1:53" customFormat="1" ht="22.5" customHeight="1" outlineLevel="1" x14ac:dyDescent="0.3">
      <c r="A6" s="1812"/>
      <c r="B6" s="1812"/>
      <c r="D6" s="1760" t="s">
        <v>1518</v>
      </c>
      <c r="E6" s="1760"/>
      <c r="F6" s="1891" t="s">
        <v>1684</v>
      </c>
      <c r="G6" s="1761" t="s">
        <v>1623</v>
      </c>
      <c r="H6" s="1761" t="s">
        <v>1622</v>
      </c>
      <c r="I6" s="1761" t="s">
        <v>1519</v>
      </c>
      <c r="J6" s="1761" t="s">
        <v>1521</v>
      </c>
      <c r="K6" s="1761" t="s">
        <v>1520</v>
      </c>
      <c r="S6" s="152"/>
      <c r="T6" s="152"/>
      <c r="U6" s="1717"/>
      <c r="V6" s="1717"/>
      <c r="W6" s="1717"/>
      <c r="X6" s="1756" t="s">
        <v>1595</v>
      </c>
      <c r="Z6" s="1756" t="s">
        <v>1595</v>
      </c>
      <c r="AB6" s="1756" t="s">
        <v>1595</v>
      </c>
    </row>
    <row r="7" spans="1:53" customFormat="1" ht="45" customHeight="1" x14ac:dyDescent="0.3">
      <c r="A7" s="1811"/>
      <c r="B7" s="1811"/>
      <c r="C7" s="1717"/>
      <c r="D7" s="1762" t="s">
        <v>1563</v>
      </c>
      <c r="E7" s="1762" t="s">
        <v>666</v>
      </c>
      <c r="F7" s="1763" t="s">
        <v>1638</v>
      </c>
      <c r="G7" s="1763" t="s">
        <v>1639</v>
      </c>
      <c r="H7" s="1763" t="s">
        <v>1640</v>
      </c>
      <c r="I7" s="1763" t="s">
        <v>1643</v>
      </c>
      <c r="J7" s="1763" t="s">
        <v>1641</v>
      </c>
      <c r="K7" s="1763" t="s">
        <v>1644</v>
      </c>
      <c r="L7" s="1763" t="s">
        <v>1636</v>
      </c>
      <c r="M7" s="1763" t="s">
        <v>1637</v>
      </c>
      <c r="N7" s="1763" t="s">
        <v>1642</v>
      </c>
      <c r="O7" s="1763" t="s">
        <v>1645</v>
      </c>
      <c r="P7" s="1763" t="s">
        <v>1656</v>
      </c>
      <c r="Q7" s="1763" t="s">
        <v>1657</v>
      </c>
      <c r="R7" s="1717"/>
      <c r="S7" s="1766" t="s">
        <v>282</v>
      </c>
      <c r="T7" s="1766" t="s">
        <v>1545</v>
      </c>
      <c r="U7" s="8" t="s">
        <v>1529</v>
      </c>
      <c r="V7" s="1767"/>
      <c r="W7" s="1717"/>
      <c r="X7" s="8" t="s">
        <v>1603</v>
      </c>
      <c r="Z7" s="8" t="s">
        <v>1594</v>
      </c>
      <c r="AB7" s="8" t="s">
        <v>1541</v>
      </c>
      <c r="AE7" s="1763" t="s">
        <v>1635</v>
      </c>
      <c r="AF7" s="1764" t="s">
        <v>1556</v>
      </c>
      <c r="AG7" s="1764" t="s">
        <v>1558</v>
      </c>
      <c r="AH7" s="1764" t="s">
        <v>1557</v>
      </c>
      <c r="AI7" s="1764" t="s">
        <v>1559</v>
      </c>
      <c r="AJ7" s="1764" t="s">
        <v>1515</v>
      </c>
      <c r="AK7" s="1765" t="s">
        <v>1555</v>
      </c>
    </row>
    <row r="8" spans="1:53" customFormat="1" x14ac:dyDescent="0.3">
      <c r="A8" s="1813">
        <f ca="1">OFFSET(A8,-1,0)+1</f>
        <v>1</v>
      </c>
      <c r="B8" s="1822" t="str">
        <f ca="1">A8&amp;"-"&amp;D8</f>
        <v>1-Unit nominal power</v>
      </c>
      <c r="C8" s="1717"/>
      <c r="D8" s="1806" t="s">
        <v>1564</v>
      </c>
      <c r="E8" s="1806" t="s">
        <v>73</v>
      </c>
      <c r="F8" s="1816">
        <v>150000</v>
      </c>
      <c r="G8" s="1816">
        <v>1000000</v>
      </c>
      <c r="H8" s="1816">
        <v>3000000</v>
      </c>
      <c r="I8" s="1816">
        <v>5000000</v>
      </c>
      <c r="J8" s="1816">
        <v>4000000</v>
      </c>
      <c r="K8" s="1816">
        <v>8000000</v>
      </c>
      <c r="L8" s="1724">
        <v>150000</v>
      </c>
      <c r="M8" s="1724">
        <v>1000000</v>
      </c>
      <c r="N8" s="1724">
        <v>3450000</v>
      </c>
      <c r="O8" s="1724">
        <v>8000000</v>
      </c>
      <c r="P8" s="1724">
        <v>3000000</v>
      </c>
      <c r="Q8" s="1724">
        <v>3000000</v>
      </c>
      <c r="R8" s="1717"/>
      <c r="S8" s="1898">
        <f ca="1">P*1000</f>
        <v>150000</v>
      </c>
      <c r="T8" s="1730" t="s">
        <v>1522</v>
      </c>
      <c r="U8" t="s">
        <v>893</v>
      </c>
      <c r="V8" s="1717"/>
      <c r="X8" s="25"/>
      <c r="Z8" s="25"/>
      <c r="AB8" s="25"/>
      <c r="AE8" s="1724">
        <v>2000000</v>
      </c>
      <c r="AF8" s="1724">
        <v>500000000</v>
      </c>
      <c r="AG8" s="1724">
        <v>30000000</v>
      </c>
      <c r="AH8" s="1724">
        <v>500000000</v>
      </c>
      <c r="AI8" s="1724">
        <v>1200000000</v>
      </c>
      <c r="AJ8" s="1724">
        <v>22500000000</v>
      </c>
      <c r="AK8" s="1724">
        <v>22500000000</v>
      </c>
    </row>
    <row r="9" spans="1:53" customFormat="1" x14ac:dyDescent="0.3">
      <c r="A9" s="1813">
        <f t="shared" ref="A9:A63" ca="1" si="2">OFFSET(A9,-1,0)+1</f>
        <v>2</v>
      </c>
      <c r="B9" s="1822" t="str">
        <f t="shared" ref="B9:B63" ca="1" si="3">A9&amp;"-"&amp;D9</f>
        <v>2-Local energy resource</v>
      </c>
      <c r="C9" s="1806"/>
      <c r="D9" s="1806" t="s">
        <v>1626</v>
      </c>
      <c r="E9" s="1806" t="s">
        <v>1604</v>
      </c>
      <c r="F9" s="1817">
        <v>9</v>
      </c>
      <c r="G9" s="1817">
        <v>9</v>
      </c>
      <c r="H9" s="1817">
        <v>9</v>
      </c>
      <c r="I9" s="1817">
        <v>11</v>
      </c>
      <c r="J9" s="1817">
        <v>9</v>
      </c>
      <c r="K9" s="1817">
        <v>11</v>
      </c>
      <c r="L9" s="1742">
        <v>9</v>
      </c>
      <c r="M9" s="1742">
        <v>9</v>
      </c>
      <c r="N9" s="1742">
        <v>9</v>
      </c>
      <c r="O9" s="1742">
        <v>11</v>
      </c>
      <c r="P9" s="1724">
        <v>900</v>
      </c>
      <c r="Q9" s="1724">
        <v>1500</v>
      </c>
      <c r="R9" s="1717"/>
      <c r="S9" s="1890">
        <f ca="1">ref_speed</f>
        <v>9</v>
      </c>
      <c r="T9" s="1730" t="s">
        <v>398</v>
      </c>
      <c r="U9" t="s">
        <v>893</v>
      </c>
      <c r="V9" s="1717"/>
      <c r="X9" s="25"/>
      <c r="Z9" s="25"/>
      <c r="AB9" s="25"/>
      <c r="AE9" s="1742">
        <v>9</v>
      </c>
      <c r="AF9" s="1732" t="s">
        <v>1540</v>
      </c>
      <c r="AG9" s="1732" t="s">
        <v>1540</v>
      </c>
      <c r="AH9" s="1732" t="s">
        <v>1540</v>
      </c>
      <c r="AI9" s="1732" t="s">
        <v>1540</v>
      </c>
      <c r="AJ9" s="1732" t="s">
        <v>1540</v>
      </c>
      <c r="AK9" s="1732" t="s">
        <v>1540</v>
      </c>
    </row>
    <row r="10" spans="1:53" s="647" customFormat="1" x14ac:dyDescent="0.3">
      <c r="A10" s="1813">
        <f t="shared" ca="1" si="2"/>
        <v>3</v>
      </c>
      <c r="B10" s="1822" t="str">
        <f t="shared" ca="1" si="3"/>
        <v>3-AEP</v>
      </c>
      <c r="C10" s="1717"/>
      <c r="D10" s="1806" t="s">
        <v>445</v>
      </c>
      <c r="E10" s="1806" t="s">
        <v>444</v>
      </c>
      <c r="F10" s="1816">
        <v>602.92120936003198</v>
      </c>
      <c r="G10" s="1816">
        <v>4950.5985784233362</v>
      </c>
      <c r="H10" s="1816">
        <v>15115.839384431767</v>
      </c>
      <c r="I10" s="1816">
        <v>26199.100360944518</v>
      </c>
      <c r="J10" s="1816">
        <v>19539.495095042374</v>
      </c>
      <c r="K10" s="1816">
        <v>40000.415926299771</v>
      </c>
      <c r="L10" s="1733">
        <f t="shared" ref="L10:N10" si="4">L8*L11*8760/1000000</f>
        <v>788.4</v>
      </c>
      <c r="M10" s="1733">
        <f t="shared" si="4"/>
        <v>4818</v>
      </c>
      <c r="N10" s="1733">
        <f t="shared" si="4"/>
        <v>13599.9</v>
      </c>
      <c r="O10" s="1749">
        <f t="shared" ref="O10" si="5">O8/10^6*8760*O11</f>
        <v>38544</v>
      </c>
      <c r="P10" s="1749">
        <f>P8/10^6*8760*P11</f>
        <v>2700</v>
      </c>
      <c r="Q10" s="1749">
        <f>Q8/10^6*8760*Q11</f>
        <v>4500</v>
      </c>
      <c r="R10" s="1717"/>
      <c r="S10" s="1769">
        <f ca="1">AEP</f>
        <v>528.86332173637288</v>
      </c>
      <c r="T10" s="1730" t="s">
        <v>445</v>
      </c>
      <c r="V10" s="1717"/>
      <c r="X10" s="1770"/>
      <c r="Z10" s="1770"/>
      <c r="AB10" s="1770"/>
      <c r="AE10" s="1733">
        <f>AE8*AE11*8760/1000000</f>
        <v>5256</v>
      </c>
      <c r="AF10" s="1732" t="s">
        <v>1540</v>
      </c>
      <c r="AG10" s="1732" t="s">
        <v>1540</v>
      </c>
      <c r="AH10" s="1732" t="s">
        <v>1540</v>
      </c>
      <c r="AI10" s="1732" t="s">
        <v>1540</v>
      </c>
      <c r="AJ10" s="1732" t="s">
        <v>1540</v>
      </c>
      <c r="AK10" s="1732" t="s">
        <v>1540</v>
      </c>
    </row>
    <row r="11" spans="1:53" customFormat="1" x14ac:dyDescent="0.3">
      <c r="A11" s="1820">
        <f t="shared" ca="1" si="2"/>
        <v>4</v>
      </c>
      <c r="B11" s="1822" t="str">
        <f t="shared" ca="1" si="3"/>
        <v>4-Capacity factor</v>
      </c>
      <c r="C11" s="1717"/>
      <c r="D11" s="1806" t="s">
        <v>21</v>
      </c>
      <c r="E11" s="1806" t="s">
        <v>415</v>
      </c>
      <c r="F11" s="1895">
        <v>0.4585300854513894</v>
      </c>
      <c r="G11" s="1895">
        <v>0.56475000894630811</v>
      </c>
      <c r="H11" s="1895">
        <v>0.57479045495595738</v>
      </c>
      <c r="I11" s="1895">
        <v>0.59774356287804054</v>
      </c>
      <c r="J11" s="1897">
        <v>0.5572523127721416</v>
      </c>
      <c r="K11" s="1897">
        <v>0.57039151161162116</v>
      </c>
      <c r="L11" s="1771">
        <v>0.6</v>
      </c>
      <c r="M11" s="1746">
        <v>0.55000000000000004</v>
      </c>
      <c r="N11" s="1837">
        <v>0.45</v>
      </c>
      <c r="O11" s="1837">
        <v>0.55000000000000004</v>
      </c>
      <c r="P11" s="1738">
        <f>P9/8760</f>
        <v>0.10273972602739725</v>
      </c>
      <c r="Q11" s="1738">
        <f>Q9/8760</f>
        <v>0.17123287671232876</v>
      </c>
      <c r="R11" s="1717"/>
      <c r="S11" s="1772">
        <f ca="1">'LCOE analysis'!D19</f>
        <v>0.40220801713922949</v>
      </c>
      <c r="T11" s="1737" t="s">
        <v>1596</v>
      </c>
      <c r="U11" t="s">
        <v>893</v>
      </c>
      <c r="V11" s="1717"/>
      <c r="X11" s="25"/>
      <c r="Z11" s="1773" t="s">
        <v>1605</v>
      </c>
      <c r="AB11" s="25"/>
      <c r="AE11" s="1746">
        <v>0.3</v>
      </c>
      <c r="AF11" s="1732" t="s">
        <v>1540</v>
      </c>
      <c r="AG11" s="1732" t="s">
        <v>1540</v>
      </c>
      <c r="AH11" s="1732" t="s">
        <v>1540</v>
      </c>
      <c r="AI11" s="1732" t="s">
        <v>1540</v>
      </c>
      <c r="AJ11" s="1732" t="s">
        <v>1540</v>
      </c>
      <c r="AK11" s="1732" t="s">
        <v>1540</v>
      </c>
    </row>
    <row r="12" spans="1:53" customFormat="1" x14ac:dyDescent="0.3">
      <c r="A12" s="1813">
        <f t="shared" ca="1" si="2"/>
        <v>5</v>
      </c>
      <c r="B12" s="1822" t="str">
        <f t="shared" ca="1" si="3"/>
        <v>5-</v>
      </c>
      <c r="C12" s="1717"/>
      <c r="D12" s="1806"/>
      <c r="E12" s="1806"/>
      <c r="F12" s="1894"/>
      <c r="G12" s="1894"/>
      <c r="H12" s="1894"/>
      <c r="I12" s="1894"/>
      <c r="J12" s="1894"/>
      <c r="K12" s="1894"/>
      <c r="L12" s="1774"/>
      <c r="M12" s="1752"/>
      <c r="N12" s="1752"/>
      <c r="O12" s="1752"/>
      <c r="P12" s="1752"/>
      <c r="Q12" s="1752"/>
      <c r="R12" s="1717"/>
      <c r="S12" s="1775"/>
      <c r="T12" s="1737"/>
      <c r="V12" s="1717"/>
      <c r="X12" s="25"/>
      <c r="Z12" s="1776"/>
      <c r="AB12" s="25"/>
      <c r="AE12" s="1752"/>
      <c r="AF12" s="1732"/>
      <c r="AG12" s="1732"/>
      <c r="AH12" s="1732"/>
      <c r="AI12" s="1732"/>
      <c r="AJ12" s="1732"/>
      <c r="AK12" s="1732"/>
    </row>
    <row r="13" spans="1:53" customFormat="1" x14ac:dyDescent="0.3">
      <c r="A13" s="1813">
        <f t="shared" ca="1" si="2"/>
        <v>6</v>
      </c>
      <c r="B13" s="1822" t="str">
        <f t="shared" ref="B13" ca="1" si="6">A13&amp;"-"&amp;D13</f>
        <v>6-</v>
      </c>
      <c r="C13" s="1777" t="s">
        <v>1551</v>
      </c>
      <c r="D13" s="1806"/>
      <c r="E13" s="1806"/>
      <c r="F13" s="1894"/>
      <c r="G13" s="1894"/>
      <c r="H13" s="1894"/>
      <c r="I13" s="1894"/>
      <c r="J13" s="1894"/>
      <c r="K13" s="1894"/>
      <c r="L13" s="1774"/>
      <c r="M13" s="1752"/>
      <c r="N13" s="1752"/>
      <c r="O13" s="1752"/>
      <c r="P13" s="1752"/>
      <c r="Q13" s="1752"/>
      <c r="R13" s="1717"/>
      <c r="S13" s="1775"/>
      <c r="T13" s="1737"/>
      <c r="V13" s="1717"/>
      <c r="X13" s="25"/>
      <c r="Z13" s="1776"/>
      <c r="AB13" s="25"/>
      <c r="AE13" s="1752"/>
      <c r="AF13" s="1732"/>
      <c r="AG13" s="1732"/>
      <c r="AH13" s="1732"/>
      <c r="AI13" s="1732"/>
      <c r="AJ13" s="1732"/>
      <c r="AK13" s="1732"/>
    </row>
    <row r="14" spans="1:53" customFormat="1" x14ac:dyDescent="0.3">
      <c r="A14" s="1813">
        <f ca="1">OFFSET(A14,-1,0)+1</f>
        <v>7</v>
      </c>
      <c r="B14" s="1822" t="str">
        <f ca="1">A14&amp;"-"&amp;D14</f>
        <v>7-Tether length</v>
      </c>
      <c r="C14" s="1717"/>
      <c r="D14" s="1806" t="s">
        <v>1565</v>
      </c>
      <c r="E14" s="1806" t="s">
        <v>175</v>
      </c>
      <c r="F14" s="1816">
        <v>816.69382069232699</v>
      </c>
      <c r="G14" s="1816">
        <v>1217.3876105049831</v>
      </c>
      <c r="H14" s="1816">
        <v>1122.460179268799</v>
      </c>
      <c r="I14" s="1816">
        <v>1416.5331675617315</v>
      </c>
      <c r="J14" s="1816">
        <v>834.03632511516457</v>
      </c>
      <c r="K14" s="1816">
        <v>1114.5473855798061</v>
      </c>
      <c r="L14" s="1747">
        <f>$F$14</f>
        <v>816.69382069232699</v>
      </c>
      <c r="M14" s="1747">
        <f>G14</f>
        <v>1217.3876105049831</v>
      </c>
      <c r="N14" s="1722" t="s">
        <v>893</v>
      </c>
      <c r="O14" s="1722" t="s">
        <v>893</v>
      </c>
      <c r="P14" s="1722" t="s">
        <v>893</v>
      </c>
      <c r="Q14" s="1722" t="s">
        <v>893</v>
      </c>
      <c r="R14" s="1717"/>
      <c r="S14" s="1768">
        <f ca="1">Performance!C21</f>
        <v>833.48857504911859</v>
      </c>
      <c r="T14" s="1728" t="s">
        <v>1589</v>
      </c>
      <c r="U14" s="1717" t="s">
        <v>1532</v>
      </c>
      <c r="V14" s="1717"/>
      <c r="X14" s="25"/>
      <c r="Z14" s="25"/>
      <c r="AB14" s="25"/>
      <c r="AE14" s="1722" t="s">
        <v>893</v>
      </c>
      <c r="AF14" s="1732"/>
      <c r="AG14" s="1732"/>
      <c r="AH14" s="1732"/>
      <c r="AI14" s="1732"/>
      <c r="AJ14" s="1732"/>
      <c r="AK14" s="1732"/>
    </row>
    <row r="15" spans="1:53" customFormat="1" x14ac:dyDescent="0.3">
      <c r="A15" s="1813">
        <f ca="1">OFFSET(A15,-1,0)+1</f>
        <v>8</v>
      </c>
      <c r="B15" s="1822" t="str">
        <f ca="1">A15&amp;"-"&amp;D15</f>
        <v>8-PatternAng (deg)</v>
      </c>
      <c r="C15" s="1717"/>
      <c r="D15" s="1717" t="s">
        <v>1634</v>
      </c>
      <c r="E15" s="1806" t="s">
        <v>1633</v>
      </c>
      <c r="F15" s="1816">
        <v>28</v>
      </c>
      <c r="G15" s="1816">
        <v>22</v>
      </c>
      <c r="H15" s="1816">
        <v>22</v>
      </c>
      <c r="I15" s="1816">
        <v>22</v>
      </c>
      <c r="J15" s="1816">
        <v>22</v>
      </c>
      <c r="K15" s="1816">
        <v>22</v>
      </c>
      <c r="L15" s="1896">
        <v>22</v>
      </c>
      <c r="M15" s="1896">
        <v>22</v>
      </c>
      <c r="N15" s="1862">
        <v>0.75</v>
      </c>
      <c r="O15" s="1862">
        <v>0.7</v>
      </c>
      <c r="P15" s="1722"/>
      <c r="Q15" s="1722"/>
      <c r="R15" s="1717"/>
      <c r="S15" s="1768">
        <f ca="1">Theta</f>
        <v>22</v>
      </c>
      <c r="T15" s="1728"/>
      <c r="U15" s="1717"/>
      <c r="V15" s="1717"/>
      <c r="X15" s="25"/>
      <c r="Z15" s="25"/>
      <c r="AB15" s="25"/>
      <c r="AE15" s="1862">
        <v>0.75</v>
      </c>
      <c r="AF15" s="1732"/>
      <c r="AG15" s="1732"/>
      <c r="AH15" s="1732"/>
      <c r="AI15" s="1732"/>
      <c r="AJ15" s="1732"/>
      <c r="AK15" s="1732"/>
    </row>
    <row r="16" spans="1:53" customFormat="1" x14ac:dyDescent="0.3">
      <c r="A16" s="1813">
        <f ca="1">OFFSET(A16,-1,0)+1</f>
        <v>9</v>
      </c>
      <c r="B16" s="1822" t="str">
        <f t="shared" ref="B16:B18" ca="1" si="7">A16&amp;"-"&amp;D16</f>
        <v>9-Working height</v>
      </c>
      <c r="C16" s="1717"/>
      <c r="D16" s="1717" t="s">
        <v>1683</v>
      </c>
      <c r="E16" s="1806" t="s">
        <v>175</v>
      </c>
      <c r="F16" s="1816">
        <v>361.52435705868265</v>
      </c>
      <c r="G16" s="1816">
        <v>436.92076805378616</v>
      </c>
      <c r="H16" s="1816">
        <v>403.83381542167081</v>
      </c>
      <c r="I16" s="1816">
        <v>511.39646964119254</v>
      </c>
      <c r="J16" s="1816">
        <v>308.79994953645854</v>
      </c>
      <c r="K16" s="1816">
        <v>418.61781817623472</v>
      </c>
      <c r="L16" s="1861">
        <f>TAN(RADIANS(L15))*L14*75%</f>
        <v>247.47429152791136</v>
      </c>
      <c r="M16" s="1861">
        <f>TAN(RADIANS(M15))*M14*75%</f>
        <v>368.89239123810614</v>
      </c>
      <c r="N16" s="1861">
        <f>N30*N15</f>
        <v>91.5</v>
      </c>
      <c r="O16" s="1861">
        <f>O30*O15</f>
        <v>115.49999999999999</v>
      </c>
      <c r="P16" s="1722"/>
      <c r="Q16" s="1722"/>
      <c r="R16" s="1717"/>
      <c r="S16" s="1768">
        <f ca="1">Scenarios!D14</f>
        <v>306.95403032190711</v>
      </c>
      <c r="T16" s="1728"/>
      <c r="U16" s="1717"/>
      <c r="V16" s="1717"/>
      <c r="X16" s="25"/>
      <c r="Z16" s="25"/>
      <c r="AB16" s="25"/>
      <c r="AE16" s="1861">
        <f>AE30*AE15</f>
        <v>82.5</v>
      </c>
      <c r="AF16" s="1732"/>
      <c r="AG16" s="1732"/>
      <c r="AH16" s="1732"/>
      <c r="AI16" s="1732"/>
      <c r="AJ16" s="1732"/>
      <c r="AK16" s="1732"/>
    </row>
    <row r="17" spans="1:37" customFormat="1" x14ac:dyDescent="0.3">
      <c r="A17" s="1813"/>
      <c r="B17" s="1822"/>
      <c r="C17" s="1717"/>
      <c r="D17" s="1717" t="s">
        <v>1676</v>
      </c>
      <c r="E17" s="1806"/>
      <c r="F17" s="1889">
        <v>0.14285714285714285</v>
      </c>
      <c r="G17" s="1889">
        <v>0.14285714285714285</v>
      </c>
      <c r="H17" s="1889">
        <v>0.14285714285714285</v>
      </c>
      <c r="I17" s="1889">
        <v>0.1</v>
      </c>
      <c r="J17" s="1889">
        <v>0.14285714285714285</v>
      </c>
      <c r="K17" s="1889">
        <v>0.1</v>
      </c>
      <c r="L17" s="1888">
        <f t="shared" ref="L17:AE17" si="8">1/7</f>
        <v>0.14285714285714285</v>
      </c>
      <c r="M17" s="1888">
        <f t="shared" si="8"/>
        <v>0.14285714285714285</v>
      </c>
      <c r="N17" s="1888">
        <f t="shared" si="8"/>
        <v>0.14285714285714285</v>
      </c>
      <c r="O17" s="1888">
        <v>0.1</v>
      </c>
      <c r="P17" s="1722"/>
      <c r="Q17" s="1722"/>
      <c r="R17" s="1717"/>
      <c r="S17" s="1910">
        <f ca="1">Scenarios!D12</f>
        <v>0.14285714285714285</v>
      </c>
      <c r="T17" s="1728"/>
      <c r="U17" s="1717"/>
      <c r="V17" s="1717"/>
      <c r="X17" s="25"/>
      <c r="Z17" s="25"/>
      <c r="AB17" s="25"/>
      <c r="AE17" s="1888">
        <f t="shared" si="8"/>
        <v>0.14285714285714285</v>
      </c>
      <c r="AF17" s="1732"/>
      <c r="AG17" s="1732"/>
      <c r="AH17" s="1732"/>
      <c r="AI17" s="1732"/>
      <c r="AJ17" s="1732"/>
      <c r="AK17" s="1732"/>
    </row>
    <row r="18" spans="1:37" s="1780" customFormat="1" x14ac:dyDescent="0.3">
      <c r="A18" s="1899">
        <f t="shared" ca="1" si="2"/>
        <v>1</v>
      </c>
      <c r="B18" s="1900" t="str">
        <f t="shared" ca="1" si="7"/>
        <v>1-Average wind speed at working height</v>
      </c>
      <c r="C18" s="1745"/>
      <c r="D18" s="1807" t="s">
        <v>1696</v>
      </c>
      <c r="E18" s="1807" t="s">
        <v>175</v>
      </c>
      <c r="F18" s="1901">
        <v>10.813753035362966</v>
      </c>
      <c r="G18" s="1901">
        <v>11.110372190695205</v>
      </c>
      <c r="H18" s="1901">
        <v>10.986083425318053</v>
      </c>
      <c r="I18" s="1901">
        <v>12.949960917025704</v>
      </c>
      <c r="J18" s="1901">
        <v>10.572955348570924</v>
      </c>
      <c r="K18" s="1901">
        <v>12.693297417175094</v>
      </c>
      <c r="L18" s="1902">
        <f t="shared" ref="L18:M18" si="9">L9*(L16/100)^L17</f>
        <v>10.2438000698083</v>
      </c>
      <c r="M18" s="1902">
        <f t="shared" si="9"/>
        <v>10.844965643501871</v>
      </c>
      <c r="N18" s="1902">
        <f t="shared" ref="N18:O18" si="10">N9*(N16/100)^N17</f>
        <v>8.8865100660255134</v>
      </c>
      <c r="O18" s="1902">
        <f t="shared" si="10"/>
        <v>11.159657953949049</v>
      </c>
      <c r="P18" s="1903"/>
      <c r="Q18" s="1903"/>
      <c r="R18" s="1745"/>
      <c r="S18" s="1887">
        <f ca="1">avg_speed</f>
        <v>10.563903252812876</v>
      </c>
      <c r="T18" s="1904"/>
      <c r="V18" s="1745"/>
      <c r="X18" s="1781"/>
      <c r="Z18" s="1905"/>
      <c r="AB18" s="1781"/>
      <c r="AE18" s="1902">
        <f>AE9*(AE16/100)^AE17</f>
        <v>8.7560323861044544</v>
      </c>
      <c r="AF18" s="1743"/>
      <c r="AG18" s="1743"/>
      <c r="AH18" s="1743"/>
      <c r="AI18" s="1743"/>
      <c r="AJ18" s="1743"/>
      <c r="AK18" s="1743"/>
    </row>
    <row r="19" spans="1:37" customFormat="1" x14ac:dyDescent="0.3">
      <c r="A19" s="1813">
        <f t="shared" ca="1" si="2"/>
        <v>2</v>
      </c>
      <c r="B19" s="1822" t="str">
        <f t="shared" ca="1" si="3"/>
        <v>2-</v>
      </c>
      <c r="C19" s="1777" t="s">
        <v>1551</v>
      </c>
      <c r="D19" s="1806"/>
      <c r="E19" s="1806"/>
      <c r="F19" s="1752"/>
      <c r="G19" s="1752"/>
      <c r="H19" s="1752"/>
      <c r="I19" s="1752"/>
      <c r="J19" s="1752"/>
      <c r="K19" s="1752"/>
      <c r="L19" s="1774"/>
      <c r="M19" s="1752"/>
      <c r="N19" s="1752"/>
      <c r="O19" s="1752"/>
      <c r="P19" s="1752"/>
      <c r="Q19" s="1752"/>
      <c r="R19" s="1717"/>
      <c r="S19" s="1775"/>
      <c r="T19" s="1737"/>
      <c r="V19" s="1717"/>
      <c r="X19" s="25"/>
      <c r="Z19" s="1776"/>
      <c r="AB19" s="25"/>
      <c r="AE19" s="1752"/>
      <c r="AF19" s="1732"/>
      <c r="AG19" s="1732"/>
      <c r="AH19" s="1732"/>
      <c r="AI19" s="1732"/>
      <c r="AJ19" s="1732"/>
      <c r="AK19" s="1732"/>
    </row>
    <row r="20" spans="1:37" customFormat="1" x14ac:dyDescent="0.3">
      <c r="A20" s="1813">
        <f t="shared" ca="1" si="2"/>
        <v>3</v>
      </c>
      <c r="B20" s="1822" t="str">
        <f t="shared" ca="1" si="3"/>
        <v>3-Working surface length</v>
      </c>
      <c r="C20" s="1717"/>
      <c r="D20" s="1806" t="s">
        <v>1647</v>
      </c>
      <c r="E20" s="1806" t="s">
        <v>175</v>
      </c>
      <c r="F20" s="1742">
        <v>12</v>
      </c>
      <c r="G20" s="1724">
        <v>20</v>
      </c>
      <c r="H20" s="1724">
        <v>44</v>
      </c>
      <c r="I20" s="1724">
        <v>54</v>
      </c>
      <c r="J20" s="1724">
        <v>44</v>
      </c>
      <c r="K20" s="1724">
        <v>54</v>
      </c>
      <c r="L20" s="1732">
        <f>SQRT(L22*L23)</f>
        <v>23.2379000772445</v>
      </c>
      <c r="M20" s="1732">
        <f>SQRT(AE4*M23)</f>
        <v>60</v>
      </c>
      <c r="N20" s="1724">
        <f>54.7</f>
        <v>54.7</v>
      </c>
      <c r="O20" s="1724">
        <f>80</f>
        <v>80</v>
      </c>
      <c r="P20" s="1778">
        <v>1.98</v>
      </c>
      <c r="Q20" s="1778">
        <v>1.98</v>
      </c>
      <c r="R20" s="1717"/>
      <c r="S20" s="1768">
        <f ca="1">b</f>
        <v>12</v>
      </c>
      <c r="T20" s="1730" t="s">
        <v>26</v>
      </c>
      <c r="U20" s="1717" t="s">
        <v>1527</v>
      </c>
      <c r="V20" s="1717"/>
      <c r="X20" s="25"/>
      <c r="Z20" s="25" t="s">
        <v>1597</v>
      </c>
      <c r="AB20" s="25" t="s">
        <v>1610</v>
      </c>
      <c r="AE20" s="1724">
        <v>50</v>
      </c>
      <c r="AF20" s="1732"/>
      <c r="AG20" s="1732"/>
      <c r="AH20" s="1732"/>
      <c r="AI20" s="1732"/>
      <c r="AJ20" s="1724">
        <v>600000</v>
      </c>
      <c r="AK20" s="1724">
        <v>600000</v>
      </c>
    </row>
    <row r="21" spans="1:37" s="1780" customFormat="1" x14ac:dyDescent="0.3">
      <c r="A21" s="1813">
        <f t="shared" ca="1" si="2"/>
        <v>4</v>
      </c>
      <c r="B21" s="1822" t="str">
        <f t="shared" ca="1" si="3"/>
        <v>4-Working surface width</v>
      </c>
      <c r="C21" s="1717"/>
      <c r="D21" s="1807" t="s">
        <v>1648</v>
      </c>
      <c r="E21" s="1807" t="s">
        <v>175</v>
      </c>
      <c r="F21" s="1743">
        <f t="shared" ref="F21:K21" si="11">F23/F20</f>
        <v>1</v>
      </c>
      <c r="G21" s="1743">
        <f t="shared" si="11"/>
        <v>4</v>
      </c>
      <c r="H21" s="1743">
        <f t="shared" si="11"/>
        <v>4.5454545454545459</v>
      </c>
      <c r="I21" s="1743">
        <f t="shared" si="11"/>
        <v>5.5555555555555554</v>
      </c>
      <c r="J21" s="1743">
        <f t="shared" si="11"/>
        <v>4.5454545454545459</v>
      </c>
      <c r="K21" s="1743">
        <f t="shared" si="11"/>
        <v>5.5555555555555554</v>
      </c>
      <c r="L21" s="1743">
        <f>L23/L20</f>
        <v>5.809475019311126</v>
      </c>
      <c r="M21" s="1743">
        <f>M23/M20</f>
        <v>15</v>
      </c>
      <c r="N21" s="1819">
        <f>5/70*N20</f>
        <v>3.907142857142857</v>
      </c>
      <c r="O21" s="1819">
        <f>5/70*O20</f>
        <v>5.7142857142857135</v>
      </c>
      <c r="P21" s="1779">
        <v>1</v>
      </c>
      <c r="Q21" s="1779">
        <v>1</v>
      </c>
      <c r="R21" s="1745"/>
      <c r="S21" s="1743">
        <f t="shared" ref="S21" ca="1" si="12">S23/S20</f>
        <v>1</v>
      </c>
      <c r="T21" s="1744" t="s">
        <v>893</v>
      </c>
      <c r="U21" s="1745" t="s">
        <v>1543</v>
      </c>
      <c r="V21" s="1745"/>
      <c r="X21" s="1781"/>
      <c r="Z21" s="1781"/>
      <c r="AB21" s="1781" t="s">
        <v>1611</v>
      </c>
      <c r="AE21" s="1819">
        <f>5/70*AE20</f>
        <v>3.5714285714285712</v>
      </c>
      <c r="AF21" s="1743"/>
      <c r="AG21" s="1743"/>
      <c r="AH21" s="1743"/>
      <c r="AI21" s="1743"/>
      <c r="AJ21" s="1742">
        <f>AJ42/AJ20</f>
        <v>1741.6666666666665</v>
      </c>
      <c r="AK21" s="1742">
        <f>AK42/AK20</f>
        <v>1741.6666666666665</v>
      </c>
    </row>
    <row r="22" spans="1:37" s="1780" customFormat="1" x14ac:dyDescent="0.3">
      <c r="A22" s="1813">
        <f t="shared" ca="1" si="2"/>
        <v>5</v>
      </c>
      <c r="B22" s="1822" t="str">
        <f t="shared" ca="1" si="3"/>
        <v>5-Aspect ratio</v>
      </c>
      <c r="C22" s="1717"/>
      <c r="D22" s="1807" t="s">
        <v>97</v>
      </c>
      <c r="E22" s="1807"/>
      <c r="F22" s="1743">
        <f t="shared" ref="F22:J22" si="13">F20/F21</f>
        <v>12</v>
      </c>
      <c r="G22" s="1743">
        <f t="shared" si="13"/>
        <v>5</v>
      </c>
      <c r="H22" s="1743">
        <f t="shared" si="13"/>
        <v>9.68</v>
      </c>
      <c r="I22" s="1743">
        <f t="shared" si="13"/>
        <v>9.7200000000000006</v>
      </c>
      <c r="J22" s="1743">
        <f t="shared" si="13"/>
        <v>9.68</v>
      </c>
      <c r="K22" s="1743">
        <f>K20/K21</f>
        <v>9.7200000000000006</v>
      </c>
      <c r="L22" s="1724">
        <v>4</v>
      </c>
      <c r="M22" s="1724">
        <v>4</v>
      </c>
      <c r="N22" s="1743">
        <f t="shared" ref="N22:O22" si="14">N20/N21</f>
        <v>14.000000000000002</v>
      </c>
      <c r="O22" s="1743">
        <f t="shared" si="14"/>
        <v>14.000000000000002</v>
      </c>
      <c r="P22" s="1779"/>
      <c r="Q22" s="1779"/>
      <c r="R22" s="1745"/>
      <c r="S22" s="1743">
        <f t="shared" ref="S22" ca="1" si="15">S20/S21</f>
        <v>12</v>
      </c>
      <c r="T22" s="1744"/>
      <c r="U22" s="1745"/>
      <c r="V22" s="1745"/>
      <c r="X22" s="1781"/>
      <c r="Z22" s="1781"/>
      <c r="AB22" s="1781"/>
      <c r="AE22" s="1743">
        <f>AE20/AE21</f>
        <v>14.000000000000002</v>
      </c>
      <c r="AF22" s="1743"/>
      <c r="AG22" s="1743"/>
      <c r="AH22" s="1743"/>
      <c r="AI22" s="1743"/>
      <c r="AJ22" s="1742"/>
      <c r="AK22" s="1742"/>
    </row>
    <row r="23" spans="1:37" customFormat="1" x14ac:dyDescent="0.3">
      <c r="A23" s="1813">
        <f t="shared" ca="1" si="2"/>
        <v>6</v>
      </c>
      <c r="B23" s="1822" t="str">
        <f t="shared" ca="1" si="3"/>
        <v>6-Working surface area per unit</v>
      </c>
      <c r="C23" s="1717"/>
      <c r="D23" s="1806" t="s">
        <v>1649</v>
      </c>
      <c r="E23" s="1806" t="s">
        <v>51</v>
      </c>
      <c r="F23" s="1724">
        <v>12</v>
      </c>
      <c r="G23" s="1724">
        <v>80</v>
      </c>
      <c r="H23" s="1724">
        <v>200</v>
      </c>
      <c r="I23" s="1724">
        <v>300</v>
      </c>
      <c r="J23" s="1724">
        <v>200</v>
      </c>
      <c r="K23" s="1724">
        <v>300</v>
      </c>
      <c r="L23" s="1741">
        <f>L8/1000*180/200</f>
        <v>135</v>
      </c>
      <c r="M23" s="1741">
        <f>M8/1000*180/200</f>
        <v>900</v>
      </c>
      <c r="N23" s="1815">
        <f t="shared" ref="N23:O23" si="16">N20*N21</f>
        <v>213.72071428571428</v>
      </c>
      <c r="O23" s="1815">
        <f t="shared" si="16"/>
        <v>457.14285714285711</v>
      </c>
      <c r="P23" s="1814">
        <f t="shared" ref="P23" si="17">P20*P21</f>
        <v>1.98</v>
      </c>
      <c r="Q23" s="1814">
        <f>Q20*Q21</f>
        <v>1.98</v>
      </c>
      <c r="R23" s="1717"/>
      <c r="S23" s="1768">
        <f ca="1">wing_area</f>
        <v>12</v>
      </c>
      <c r="T23" s="162" t="s">
        <v>416</v>
      </c>
      <c r="U23" s="1717" t="s">
        <v>1544</v>
      </c>
      <c r="V23" s="1717"/>
      <c r="X23" s="25"/>
      <c r="Z23" s="25"/>
      <c r="AB23" s="25" t="s">
        <v>1610</v>
      </c>
      <c r="AE23" s="1815">
        <f>AE20*AE21</f>
        <v>178.57142857142856</v>
      </c>
      <c r="AF23" s="1748"/>
      <c r="AG23" s="1732"/>
      <c r="AH23" s="1732"/>
      <c r="AI23" s="1732"/>
      <c r="AJ23" s="1724">
        <f>AJ21*AJ20</f>
        <v>1044999999.9999999</v>
      </c>
      <c r="AK23" s="1724">
        <f>AK21*AK20</f>
        <v>1044999999.9999999</v>
      </c>
    </row>
    <row r="24" spans="1:37" customFormat="1" x14ac:dyDescent="0.3">
      <c r="A24" s="1813">
        <f t="shared" ca="1" si="2"/>
        <v>7</v>
      </c>
      <c r="B24" s="1822" t="str">
        <f t="shared" ca="1" si="3"/>
        <v>7-Nr Working surfaces</v>
      </c>
      <c r="C24" s="1717"/>
      <c r="D24" s="1806" t="s">
        <v>1650</v>
      </c>
      <c r="E24" s="1806" t="s">
        <v>294</v>
      </c>
      <c r="F24" s="1724">
        <v>1</v>
      </c>
      <c r="G24" s="1724">
        <v>1</v>
      </c>
      <c r="H24" s="1724">
        <v>1</v>
      </c>
      <c r="I24" s="1724">
        <v>1</v>
      </c>
      <c r="J24" s="1724">
        <v>1</v>
      </c>
      <c r="K24" s="1724">
        <v>1</v>
      </c>
      <c r="L24" s="1724">
        <v>1</v>
      </c>
      <c r="M24" s="1724">
        <v>1</v>
      </c>
      <c r="N24" s="1724">
        <v>3</v>
      </c>
      <c r="O24" s="1724">
        <v>3</v>
      </c>
      <c r="P24" s="1724">
        <f>P8/400</f>
        <v>7500</v>
      </c>
      <c r="Q24" s="1724">
        <f>Q8/400</f>
        <v>7500</v>
      </c>
      <c r="R24" s="1717"/>
      <c r="S24" s="1724">
        <v>1</v>
      </c>
      <c r="T24" s="162"/>
      <c r="U24" s="1717"/>
      <c r="V24" s="1717"/>
      <c r="X24" s="25"/>
      <c r="Z24" s="25"/>
      <c r="AB24" s="25"/>
      <c r="AE24" s="1724">
        <v>3</v>
      </c>
      <c r="AF24" s="1748"/>
      <c r="AG24" s="1732"/>
      <c r="AH24" s="1732"/>
      <c r="AI24" s="1732"/>
      <c r="AJ24" s="1724"/>
      <c r="AK24" s="1724"/>
    </row>
    <row r="25" spans="1:37" customFormat="1" x14ac:dyDescent="0.3">
      <c r="A25" s="1813">
        <f t="shared" ca="1" si="2"/>
        <v>8</v>
      </c>
      <c r="B25" s="1822" t="str">
        <f t="shared" ca="1" si="3"/>
        <v>8-Total Working surface area</v>
      </c>
      <c r="C25" s="1717"/>
      <c r="D25" s="1806" t="s">
        <v>1651</v>
      </c>
      <c r="E25" s="1806" t="s">
        <v>51</v>
      </c>
      <c r="F25" s="1732">
        <f>F24*F23</f>
        <v>12</v>
      </c>
      <c r="G25" s="1732">
        <f t="shared" ref="G25:O25" si="18">G24*G23</f>
        <v>80</v>
      </c>
      <c r="H25" s="1732">
        <f t="shared" si="18"/>
        <v>200</v>
      </c>
      <c r="I25" s="1732">
        <f t="shared" si="18"/>
        <v>300</v>
      </c>
      <c r="J25" s="1732">
        <f t="shared" si="18"/>
        <v>200</v>
      </c>
      <c r="K25" s="1732">
        <f t="shared" si="18"/>
        <v>300</v>
      </c>
      <c r="L25" s="1732">
        <f t="shared" si="18"/>
        <v>135</v>
      </c>
      <c r="M25" s="1732">
        <f t="shared" si="18"/>
        <v>900</v>
      </c>
      <c r="N25" s="1732">
        <f t="shared" si="18"/>
        <v>641.16214285714284</v>
      </c>
      <c r="O25" s="1732">
        <f t="shared" si="18"/>
        <v>1371.4285714285713</v>
      </c>
      <c r="P25" s="1732">
        <f t="shared" ref="P25" si="19">P24*P23</f>
        <v>14850</v>
      </c>
      <c r="Q25" s="1732">
        <f>Q24*Q23</f>
        <v>14850</v>
      </c>
      <c r="R25" s="1717"/>
      <c r="S25" s="1732">
        <f t="shared" ref="S25" ca="1" si="20">S24*S23</f>
        <v>12</v>
      </c>
      <c r="T25" s="162"/>
      <c r="U25" s="1717"/>
      <c r="V25" s="1717"/>
      <c r="X25" s="25"/>
      <c r="Z25" s="25"/>
      <c r="AB25" s="25"/>
      <c r="AE25" s="1732">
        <f>AE24*AE23</f>
        <v>535.71428571428567</v>
      </c>
      <c r="AF25" s="1748"/>
      <c r="AG25" s="1732"/>
      <c r="AH25" s="1732"/>
      <c r="AI25" s="1732"/>
      <c r="AJ25" s="1724"/>
      <c r="AK25" s="1724"/>
    </row>
    <row r="26" spans="1:37" s="647" customFormat="1" x14ac:dyDescent="0.3">
      <c r="A26" s="1906">
        <f t="shared" ca="1" si="2"/>
        <v>9</v>
      </c>
      <c r="B26" s="1907" t="str">
        <f t="shared" ca="1" si="3"/>
        <v>9-Working surface power density</v>
      </c>
      <c r="C26" s="1717"/>
      <c r="D26" s="1806" t="s">
        <v>1652</v>
      </c>
      <c r="E26" s="1806" t="s">
        <v>1560</v>
      </c>
      <c r="F26" s="1732">
        <f t="shared" ref="F26:N26" si="21">IFERROR(F$8/F23,"")</f>
        <v>12500</v>
      </c>
      <c r="G26" s="1732">
        <f t="shared" si="21"/>
        <v>12500</v>
      </c>
      <c r="H26" s="1732">
        <f t="shared" si="21"/>
        <v>15000</v>
      </c>
      <c r="I26" s="1732">
        <f t="shared" si="21"/>
        <v>16666.666666666668</v>
      </c>
      <c r="J26" s="1732">
        <f t="shared" si="21"/>
        <v>20000</v>
      </c>
      <c r="K26" s="1732">
        <f t="shared" si="21"/>
        <v>26666.666666666668</v>
      </c>
      <c r="L26" s="1732">
        <f t="shared" si="21"/>
        <v>1111.1111111111111</v>
      </c>
      <c r="M26" s="1732">
        <f t="shared" si="21"/>
        <v>1111.1111111111111</v>
      </c>
      <c r="N26" s="1732">
        <f t="shared" si="21"/>
        <v>16142.562556607589</v>
      </c>
      <c r="O26" s="1732">
        <f>IFERROR(O$8/O23,"")</f>
        <v>17500</v>
      </c>
      <c r="P26" s="1732">
        <f>IFERROR(P$8/P25,"")</f>
        <v>202.02020202020202</v>
      </c>
      <c r="Q26" s="1732">
        <f>IFERROR(Q$8/Q25,"")</f>
        <v>202.02020202020202</v>
      </c>
      <c r="R26" s="1717"/>
      <c r="S26" s="1786">
        <f ca="1">S8/S23</f>
        <v>12500</v>
      </c>
      <c r="T26" s="1728" t="s">
        <v>1587</v>
      </c>
      <c r="U26" s="647" t="s">
        <v>893</v>
      </c>
      <c r="V26" s="1717"/>
      <c r="X26" s="1770"/>
      <c r="Z26" s="1770"/>
      <c r="AB26" s="1770"/>
      <c r="AE26" s="1732">
        <f t="shared" ref="AE26:AK26" si="22">IFERROR(AE$8/AE23,"")</f>
        <v>11200.000000000002</v>
      </c>
      <c r="AF26" s="1733" t="str">
        <f t="shared" si="22"/>
        <v/>
      </c>
      <c r="AG26" s="1733" t="str">
        <f t="shared" si="22"/>
        <v/>
      </c>
      <c r="AH26" s="1733" t="str">
        <f t="shared" si="22"/>
        <v/>
      </c>
      <c r="AI26" s="1733" t="str">
        <f t="shared" si="22"/>
        <v/>
      </c>
      <c r="AJ26" s="1733">
        <f t="shared" si="22"/>
        <v>21.5311004784689</v>
      </c>
      <c r="AK26" s="1733">
        <f t="shared" si="22"/>
        <v>21.5311004784689</v>
      </c>
    </row>
    <row r="27" spans="1:37" s="647" customFormat="1" x14ac:dyDescent="0.3">
      <c r="A27" s="1908">
        <f t="shared" ca="1" si="2"/>
        <v>10</v>
      </c>
      <c r="B27" s="1907" t="str">
        <f t="shared" ca="1" si="3"/>
        <v>10-Working surface energy density</v>
      </c>
      <c r="C27" s="1717"/>
      <c r="D27" s="1806" t="s">
        <v>1653</v>
      </c>
      <c r="E27" s="1806" t="s">
        <v>1561</v>
      </c>
      <c r="F27" s="1732">
        <f t="shared" ref="F27:P27" si="23">F26*8760*F11/1000000</f>
        <v>50.209044356927144</v>
      </c>
      <c r="G27" s="1732">
        <f t="shared" si="23"/>
        <v>61.840125979620737</v>
      </c>
      <c r="H27" s="1732">
        <f t="shared" si="23"/>
        <v>75.527465781212797</v>
      </c>
      <c r="I27" s="1732">
        <f t="shared" si="23"/>
        <v>87.270560180193911</v>
      </c>
      <c r="J27" s="1732">
        <f t="shared" si="23"/>
        <v>97.630605197679202</v>
      </c>
      <c r="K27" s="1732">
        <f t="shared" si="23"/>
        <v>133.24345711247472</v>
      </c>
      <c r="L27" s="1732">
        <f t="shared" si="23"/>
        <v>5.84</v>
      </c>
      <c r="M27" s="1732">
        <f t="shared" si="23"/>
        <v>5.3533333333333344</v>
      </c>
      <c r="N27" s="1732">
        <f t="shared" si="23"/>
        <v>63.633981598147116</v>
      </c>
      <c r="O27" s="1732">
        <f t="shared" si="23"/>
        <v>84.314999999999998</v>
      </c>
      <c r="P27" s="1732">
        <f t="shared" si="23"/>
        <v>0.18181818181818182</v>
      </c>
      <c r="Q27" s="1732">
        <f>Q26*8760*Q11/1000000</f>
        <v>0.30303030303030304</v>
      </c>
      <c r="R27" s="1717"/>
      <c r="S27" s="1786">
        <f ca="1">S26*S11*8760/1000000</f>
        <v>44.041777876745627</v>
      </c>
      <c r="T27" s="1728" t="s">
        <v>1588</v>
      </c>
      <c r="U27" s="647" t="s">
        <v>893</v>
      </c>
      <c r="V27" s="1717"/>
      <c r="X27" s="1770"/>
      <c r="Z27" s="1770"/>
      <c r="AB27" s="1770"/>
      <c r="AE27" s="1732">
        <f t="shared" ref="AE27:AK27" si="24">AE26*8760*AE11/1000000</f>
        <v>29.433600000000002</v>
      </c>
      <c r="AF27" s="1733" t="e">
        <f t="shared" si="24"/>
        <v>#VALUE!</v>
      </c>
      <c r="AG27" s="1733" t="e">
        <f t="shared" si="24"/>
        <v>#VALUE!</v>
      </c>
      <c r="AH27" s="1733" t="e">
        <f t="shared" si="24"/>
        <v>#VALUE!</v>
      </c>
      <c r="AI27" s="1733" t="e">
        <f t="shared" si="24"/>
        <v>#VALUE!</v>
      </c>
      <c r="AJ27" s="1733" t="e">
        <f t="shared" si="24"/>
        <v>#VALUE!</v>
      </c>
      <c r="AK27" s="1733" t="e">
        <f t="shared" si="24"/>
        <v>#VALUE!</v>
      </c>
    </row>
    <row r="28" spans="1:37" customFormat="1" x14ac:dyDescent="0.3">
      <c r="A28" s="1813">
        <f t="shared" ca="1" si="2"/>
        <v>11</v>
      </c>
      <c r="B28" s="1822" t="str">
        <f t="shared" ca="1" si="3"/>
        <v>11-</v>
      </c>
      <c r="C28" s="1717"/>
      <c r="D28" s="1806"/>
      <c r="E28" s="1806"/>
      <c r="F28" s="1752"/>
      <c r="G28" s="1752"/>
      <c r="H28" s="1752"/>
      <c r="I28" s="1752"/>
      <c r="J28" s="1752"/>
      <c r="K28" s="1752"/>
      <c r="L28" s="1774"/>
      <c r="M28" s="1752"/>
      <c r="N28" s="1752"/>
      <c r="O28" s="1752"/>
      <c r="P28" s="1752"/>
      <c r="Q28" s="1752"/>
      <c r="R28" s="1717"/>
      <c r="S28" s="1775"/>
      <c r="T28" s="1737"/>
      <c r="V28" s="1717"/>
      <c r="X28" s="25"/>
      <c r="Z28" s="1776"/>
      <c r="AB28" s="25"/>
      <c r="AE28" s="1752"/>
      <c r="AF28" s="1732"/>
      <c r="AG28" s="1732"/>
      <c r="AH28" s="1732"/>
      <c r="AI28" s="1732"/>
      <c r="AJ28" s="1732"/>
      <c r="AK28" s="1732"/>
    </row>
    <row r="29" spans="1:37" customFormat="1" x14ac:dyDescent="0.3">
      <c r="A29" s="1813">
        <f t="shared" ca="1" si="2"/>
        <v>12</v>
      </c>
      <c r="B29" s="1822" t="str">
        <f t="shared" ca="1" si="3"/>
        <v>12-</v>
      </c>
      <c r="C29" s="1777" t="s">
        <v>1579</v>
      </c>
      <c r="D29" s="1806"/>
      <c r="E29" s="1806"/>
      <c r="F29" s="1752"/>
      <c r="G29" s="1752"/>
      <c r="H29" s="1752"/>
      <c r="I29" s="1752"/>
      <c r="J29" s="1752"/>
      <c r="K29" s="1752"/>
      <c r="L29" s="1774"/>
      <c r="M29" s="1752"/>
      <c r="N29" s="1752"/>
      <c r="O29" s="1752"/>
      <c r="P29" s="1752"/>
      <c r="Q29" s="1752"/>
      <c r="R29" s="1717"/>
      <c r="S29" s="1775"/>
      <c r="T29" s="1737"/>
      <c r="V29" s="1717"/>
      <c r="X29" s="25"/>
      <c r="Z29" s="1776"/>
      <c r="AB29" s="25"/>
      <c r="AE29" s="1752"/>
      <c r="AF29" s="1732"/>
      <c r="AG29" s="1732"/>
      <c r="AH29" s="1732"/>
      <c r="AI29" s="1732"/>
      <c r="AJ29" s="1732"/>
      <c r="AK29" s="1732"/>
    </row>
    <row r="30" spans="1:37" customFormat="1" x14ac:dyDescent="0.3">
      <c r="A30" s="1813">
        <f t="shared" ca="1" si="2"/>
        <v>13</v>
      </c>
      <c r="B30" s="1822" t="str">
        <f t="shared" ca="1" si="3"/>
        <v>13-Swept area diameter</v>
      </c>
      <c r="C30" s="1717"/>
      <c r="D30" s="1806" t="s">
        <v>1578</v>
      </c>
      <c r="E30" s="1806" t="s">
        <v>175</v>
      </c>
      <c r="F30" s="1723">
        <v>465.14416889920017</v>
      </c>
      <c r="G30" s="1723">
        <v>449.7043484887509</v>
      </c>
      <c r="H30" s="1723">
        <v>415.64445914413841</v>
      </c>
      <c r="I30" s="1723">
        <v>526.35003557519531</v>
      </c>
      <c r="J30" s="1723">
        <v>317.82406069795297</v>
      </c>
      <c r="K30" s="1723">
        <v>411.53167678216641</v>
      </c>
      <c r="L30" s="1733">
        <f>2*L14*SIN(L15*PI()/180)</f>
        <v>611.8777800667566</v>
      </c>
      <c r="M30" s="1733">
        <f>2*M14*SIN(M15*PI()/180)</f>
        <v>912.08285127601766</v>
      </c>
      <c r="N30" s="1741">
        <v>122</v>
      </c>
      <c r="O30" s="1741">
        <v>165</v>
      </c>
      <c r="P30" s="1783" t="s">
        <v>893</v>
      </c>
      <c r="Q30" s="1783" t="s">
        <v>893</v>
      </c>
      <c r="R30" s="1717"/>
      <c r="S30" s="1782">
        <f ca="1">2*((Performance!C21-(Performance!C22/2)))*SIN(Scenarios!D84)</f>
        <v>315.9167765193136</v>
      </c>
      <c r="T30" s="1728" t="s">
        <v>1628</v>
      </c>
      <c r="U30" s="1717" t="s">
        <v>1616</v>
      </c>
      <c r="V30" s="1717"/>
      <c r="X30" s="25"/>
      <c r="Z30" s="25" t="s">
        <v>1606</v>
      </c>
      <c r="AB30" s="25"/>
      <c r="AE30" s="1741">
        <v>110</v>
      </c>
      <c r="AF30" s="1732"/>
      <c r="AG30" s="1732"/>
      <c r="AH30" s="1732"/>
      <c r="AI30" s="1732"/>
      <c r="AJ30" s="1732"/>
      <c r="AK30" s="1732"/>
    </row>
    <row r="31" spans="1:37" s="647" customFormat="1" x14ac:dyDescent="0.3">
      <c r="A31" s="1813">
        <f t="shared" ca="1" si="2"/>
        <v>14</v>
      </c>
      <c r="B31" s="1822" t="str">
        <f t="shared" ca="1" si="3"/>
        <v>14-Swept area</v>
      </c>
      <c r="C31" s="1717"/>
      <c r="D31" s="1806" t="s">
        <v>1579</v>
      </c>
      <c r="E31" s="1806" t="s">
        <v>51</v>
      </c>
      <c r="F31" s="1740">
        <f t="shared" ref="F31:M31" si="25">PI()*F30*F20</f>
        <v>17535.522046486287</v>
      </c>
      <c r="G31" s="1740">
        <f t="shared" si="25"/>
        <v>28255.757549992883</v>
      </c>
      <c r="H31" s="1740">
        <f t="shared" si="25"/>
        <v>57454.565491511239</v>
      </c>
      <c r="I31" s="1740">
        <f t="shared" si="25"/>
        <v>89293.179868907027</v>
      </c>
      <c r="J31" s="1740">
        <f t="shared" si="25"/>
        <v>43932.844305801686</v>
      </c>
      <c r="K31" s="1740">
        <f t="shared" si="25"/>
        <v>69814.704194910548</v>
      </c>
      <c r="L31" s="1733">
        <f t="shared" si="25"/>
        <v>44669.535348542806</v>
      </c>
      <c r="M31" s="1733">
        <f t="shared" si="25"/>
        <v>171923.56710203816</v>
      </c>
      <c r="N31" s="1784">
        <f>PI()*(N30/2)^2</f>
        <v>11689.86626400762</v>
      </c>
      <c r="O31" s="1784">
        <f t="shared" ref="O31" si="26">PI()*(O30/2)^2</f>
        <v>21382.464998495529</v>
      </c>
      <c r="P31" s="1785" t="s">
        <v>893</v>
      </c>
      <c r="Q31" s="1785" t="s">
        <v>893</v>
      </c>
      <c r="R31" s="1717"/>
      <c r="S31" s="1909">
        <f ca="1">PI()*(S30/2)^2</f>
        <v>78385.41466846547</v>
      </c>
      <c r="T31" s="1728" t="s">
        <v>1618</v>
      </c>
      <c r="U31" s="1717" t="s">
        <v>1617</v>
      </c>
      <c r="V31" s="1717"/>
      <c r="X31" s="1770"/>
      <c r="Z31" s="1770"/>
      <c r="AB31" s="1770"/>
      <c r="AE31" s="1784">
        <f>PI()*(AE30/2)^2</f>
        <v>9503.317777109125</v>
      </c>
      <c r="AF31" s="1732">
        <f t="shared" ref="AF31:AK31" si="27">AF30^2*PI()</f>
        <v>0</v>
      </c>
      <c r="AG31" s="1732">
        <f t="shared" si="27"/>
        <v>0</v>
      </c>
      <c r="AH31" s="1732">
        <f t="shared" si="27"/>
        <v>0</v>
      </c>
      <c r="AI31" s="1732">
        <f t="shared" si="27"/>
        <v>0</v>
      </c>
      <c r="AJ31" s="1732">
        <f t="shared" si="27"/>
        <v>0</v>
      </c>
      <c r="AK31" s="1732">
        <f t="shared" si="27"/>
        <v>0</v>
      </c>
    </row>
    <row r="32" spans="1:37" customFormat="1" x14ac:dyDescent="0.3">
      <c r="A32" s="1813">
        <f t="shared" ca="1" si="2"/>
        <v>15</v>
      </c>
      <c r="B32" s="1822" t="str">
        <f t="shared" ca="1" si="3"/>
        <v>15-Swept area power density</v>
      </c>
      <c r="C32" s="1717"/>
      <c r="D32" s="1806" t="s">
        <v>1580</v>
      </c>
      <c r="E32" s="1806" t="s">
        <v>1560</v>
      </c>
      <c r="F32" s="1787">
        <f t="shared" ref="F32:O32" si="28">F8/F31</f>
        <v>8.5540652626339426</v>
      </c>
      <c r="G32" s="1787">
        <f t="shared" si="28"/>
        <v>35.391017148653724</v>
      </c>
      <c r="H32" s="1787">
        <f t="shared" si="28"/>
        <v>52.215171663655553</v>
      </c>
      <c r="I32" s="1787">
        <f t="shared" si="28"/>
        <v>55.995317977706613</v>
      </c>
      <c r="J32" s="1787">
        <f t="shared" si="28"/>
        <v>91.048054438664423</v>
      </c>
      <c r="K32" s="1787">
        <f t="shared" si="28"/>
        <v>114.58904098004035</v>
      </c>
      <c r="L32" s="1787">
        <f t="shared" si="28"/>
        <v>3.3579932907202994</v>
      </c>
      <c r="M32" s="1787">
        <f t="shared" si="28"/>
        <v>5.816538226004182</v>
      </c>
      <c r="N32" s="1787">
        <f t="shared" si="28"/>
        <v>295.12741395702176</v>
      </c>
      <c r="O32" s="1787">
        <f t="shared" si="28"/>
        <v>374.13834188728384</v>
      </c>
      <c r="P32" s="1788" t="s">
        <v>893</v>
      </c>
      <c r="Q32" s="1788" t="s">
        <v>893</v>
      </c>
      <c r="R32" s="1717"/>
      <c r="S32" s="1782">
        <f ca="1">S8/S31</f>
        <v>1.91362131124051</v>
      </c>
      <c r="T32" s="1728" t="s">
        <v>1619</v>
      </c>
      <c r="U32" t="s">
        <v>893</v>
      </c>
      <c r="V32" s="1717"/>
      <c r="X32" s="25"/>
      <c r="Z32" s="25"/>
      <c r="AB32" s="25"/>
      <c r="AE32" s="1787">
        <f>AE8/AE31</f>
        <v>210.45281731159713</v>
      </c>
      <c r="AF32" s="1789"/>
      <c r="AG32" s="1789"/>
      <c r="AH32" s="1789"/>
      <c r="AI32" s="1789"/>
      <c r="AJ32" s="1789"/>
      <c r="AK32" s="1732"/>
    </row>
    <row r="33" spans="1:37" customFormat="1" x14ac:dyDescent="0.3">
      <c r="A33" s="1813">
        <f t="shared" ca="1" si="2"/>
        <v>16</v>
      </c>
      <c r="B33" s="1822" t="str">
        <f t="shared" ca="1" si="3"/>
        <v>16-Tether diameter</v>
      </c>
      <c r="C33" s="1717"/>
      <c r="D33" s="1806" t="s">
        <v>1566</v>
      </c>
      <c r="E33" s="1806" t="s">
        <v>175</v>
      </c>
      <c r="F33" s="1734">
        <v>9.0847788197274577E-3</v>
      </c>
      <c r="G33" s="1734">
        <v>2.2596580177352218E-2</v>
      </c>
      <c r="H33" s="1734">
        <v>3.8384950097981624E-2</v>
      </c>
      <c r="I33" s="1734">
        <v>5.0754286877961956E-2</v>
      </c>
      <c r="J33" s="1734">
        <v>4.5396014243459404E-2</v>
      </c>
      <c r="K33" s="1734">
        <v>5.9341526758336725E-2</v>
      </c>
      <c r="L33" s="1790">
        <f>SQRT((L8*100%*0.25)/700000000*4/PI())*1.1</f>
        <v>9.0847788197274577E-3</v>
      </c>
      <c r="M33" s="1790">
        <f>SQRT((M8*100%*0.25)/700000000*4/PI())*1.1</f>
        <v>2.3456798048521538E-2</v>
      </c>
      <c r="N33" s="1722" t="s">
        <v>893</v>
      </c>
      <c r="O33" s="1722" t="s">
        <v>893</v>
      </c>
      <c r="P33" s="1722" t="s">
        <v>893</v>
      </c>
      <c r="Q33" s="1722" t="s">
        <v>893</v>
      </c>
      <c r="R33" s="1717"/>
      <c r="S33" s="1791">
        <f ca="1">Performance!C24</f>
        <v>9.6144261892102973E-3</v>
      </c>
      <c r="T33" s="1728" t="s">
        <v>1590</v>
      </c>
      <c r="U33" s="1717" t="s">
        <v>1531</v>
      </c>
      <c r="V33" s="1717"/>
      <c r="X33" s="25"/>
      <c r="Z33" s="25"/>
      <c r="AB33" s="25"/>
      <c r="AE33" s="1722" t="s">
        <v>893</v>
      </c>
      <c r="AF33" s="1732"/>
      <c r="AG33" s="1732"/>
      <c r="AH33" s="1732"/>
      <c r="AI33" s="1732"/>
      <c r="AJ33" s="1732"/>
      <c r="AK33" s="1732"/>
    </row>
    <row r="34" spans="1:37" customFormat="1" x14ac:dyDescent="0.3">
      <c r="A34" s="1813">
        <f t="shared" ca="1" si="2"/>
        <v>17</v>
      </c>
      <c r="B34" s="1822" t="str">
        <f t="shared" ca="1" si="3"/>
        <v>17-</v>
      </c>
      <c r="C34" s="1717"/>
      <c r="D34" s="1806"/>
      <c r="E34" s="1806"/>
      <c r="F34" s="1752"/>
      <c r="G34" s="1752"/>
      <c r="H34" s="1752"/>
      <c r="I34" s="1752"/>
      <c r="J34" s="1752"/>
      <c r="K34" s="1752"/>
      <c r="L34" s="1774"/>
      <c r="M34" s="1752"/>
      <c r="N34" s="1752"/>
      <c r="O34" s="1752"/>
      <c r="P34" s="1752"/>
      <c r="Q34" s="1752"/>
      <c r="R34" s="1717"/>
      <c r="S34" s="1775"/>
      <c r="T34" s="1737"/>
      <c r="V34" s="1717"/>
      <c r="X34" s="25"/>
      <c r="Z34" s="1776"/>
      <c r="AB34" s="25"/>
      <c r="AE34" s="1752"/>
      <c r="AF34" s="1732"/>
      <c r="AG34" s="1732"/>
      <c r="AH34" s="1732"/>
      <c r="AI34" s="1732"/>
      <c r="AJ34" s="1732"/>
      <c r="AK34" s="1732"/>
    </row>
    <row r="35" spans="1:37" customFormat="1" x14ac:dyDescent="0.3">
      <c r="A35" s="1813">
        <f t="shared" ca="1" si="2"/>
        <v>18</v>
      </c>
      <c r="B35" s="1822" t="str">
        <f t="shared" ca="1" si="3"/>
        <v>18-</v>
      </c>
      <c r="C35" s="1777" t="s">
        <v>1552</v>
      </c>
      <c r="D35" s="1806"/>
      <c r="E35" s="1806"/>
      <c r="F35" s="1752"/>
      <c r="G35" s="1752"/>
      <c r="H35" s="1752"/>
      <c r="I35" s="1752"/>
      <c r="J35" s="1752"/>
      <c r="K35" s="1752"/>
      <c r="L35" s="1774"/>
      <c r="M35" s="1752"/>
      <c r="N35" s="1752"/>
      <c r="O35" s="1752"/>
      <c r="P35" s="1752"/>
      <c r="Q35" s="1752"/>
      <c r="R35" s="1717"/>
      <c r="S35" s="1775"/>
      <c r="T35" s="1737"/>
      <c r="V35" s="1717"/>
      <c r="X35" s="25"/>
      <c r="Z35" s="1776"/>
      <c r="AB35" s="25"/>
      <c r="AE35" s="1752"/>
      <c r="AF35" s="1732"/>
      <c r="AG35" s="1732"/>
      <c r="AH35" s="1732"/>
      <c r="AI35" s="1732"/>
      <c r="AJ35" s="1732"/>
      <c r="AK35" s="1732"/>
    </row>
    <row r="36" spans="1:37" s="647" customFormat="1" x14ac:dyDescent="0.3">
      <c r="A36" s="1813">
        <f t="shared" ca="1" si="2"/>
        <v>19</v>
      </c>
      <c r="B36" s="1822" t="str">
        <f t="shared" ca="1" si="3"/>
        <v>19-Spacing</v>
      </c>
      <c r="C36" s="1717"/>
      <c r="D36" s="1806" t="s">
        <v>1624</v>
      </c>
      <c r="E36" s="1806" t="s">
        <v>175</v>
      </c>
      <c r="F36" s="1723">
        <v>408.2822765159604</v>
      </c>
      <c r="G36" s="1723">
        <v>608.75618121157902</v>
      </c>
      <c r="H36" s="1723">
        <v>561.27603729335976</v>
      </c>
      <c r="I36" s="1723">
        <v>708.31782662010016</v>
      </c>
      <c r="J36" s="1723">
        <v>417.03611728677203</v>
      </c>
      <c r="K36" s="1723">
        <v>545.92035455016003</v>
      </c>
      <c r="L36" s="1747">
        <f>$F$36</f>
        <v>408.2822765159604</v>
      </c>
      <c r="M36" s="1747">
        <f>$G$36</f>
        <v>608.75618121157902</v>
      </c>
      <c r="N36" s="1792">
        <f>7*N30</f>
        <v>854</v>
      </c>
      <c r="O36" s="1792">
        <f>7*O30</f>
        <v>1155</v>
      </c>
      <c r="P36" s="1749">
        <f>MAX(P20,P21)</f>
        <v>1.98</v>
      </c>
      <c r="Q36" s="1749">
        <f>MAX(Q20,Q21)</f>
        <v>1.98</v>
      </c>
      <c r="S36" s="1769">
        <f ca="1">0.5*Performance!$C$21</f>
        <v>416.7442875245593</v>
      </c>
      <c r="T36" s="1728" t="s">
        <v>1625</v>
      </c>
      <c r="U36" s="1717" t="s">
        <v>1542</v>
      </c>
      <c r="V36" s="1717"/>
      <c r="X36" s="1770"/>
      <c r="Z36" s="1770" t="s">
        <v>1607</v>
      </c>
      <c r="AB36" s="1770"/>
      <c r="AE36" s="1792">
        <f>7*AE30</f>
        <v>770</v>
      </c>
      <c r="AF36" s="1793"/>
      <c r="AG36" s="1793"/>
      <c r="AH36" s="1793"/>
      <c r="AI36" s="1793"/>
      <c r="AJ36" s="1793"/>
      <c r="AK36" s="1793"/>
    </row>
    <row r="37" spans="1:37" s="647" customFormat="1" x14ac:dyDescent="0.3">
      <c r="A37" s="1813">
        <f t="shared" ca="1" si="2"/>
        <v>20</v>
      </c>
      <c r="B37" s="1822" t="str">
        <f t="shared" ca="1" si="3"/>
        <v>20-Land area</v>
      </c>
      <c r="C37" s="1717"/>
      <c r="D37" s="1806" t="s">
        <v>1552</v>
      </c>
      <c r="E37" s="1806" t="s">
        <v>51</v>
      </c>
      <c r="F37" s="1733">
        <f>F36*F36*(1/1.15)</f>
        <v>144951.66723222189</v>
      </c>
      <c r="G37" s="1733">
        <f t="shared" ref="G37:O37" si="29">G36*G36*(1/1.15)</f>
        <v>322247.03318548249</v>
      </c>
      <c r="H37" s="1733">
        <f t="shared" si="29"/>
        <v>273939.81742585823</v>
      </c>
      <c r="I37" s="1733">
        <f t="shared" si="29"/>
        <v>436273.1682676716</v>
      </c>
      <c r="J37" s="1733">
        <f t="shared" si="29"/>
        <v>151234.020105762</v>
      </c>
      <c r="K37" s="1733">
        <f t="shared" si="29"/>
        <v>259155.68131493256</v>
      </c>
      <c r="L37" s="1733">
        <f t="shared" si="29"/>
        <v>144951.66723222189</v>
      </c>
      <c r="M37" s="1733">
        <f t="shared" si="29"/>
        <v>322247.03318548249</v>
      </c>
      <c r="N37" s="1733">
        <f t="shared" si="29"/>
        <v>634187.82608695654</v>
      </c>
      <c r="O37" s="1733">
        <f t="shared" si="29"/>
        <v>1160021.7391304348</v>
      </c>
      <c r="P37" s="1832">
        <f>4*P36^2*P24</f>
        <v>117612</v>
      </c>
      <c r="Q37" s="1832">
        <f>Q36^2*Q24/35%</f>
        <v>84008.571428571435</v>
      </c>
      <c r="R37" s="1717"/>
      <c r="S37" s="1786">
        <f ca="1">S36*S36*(1/1.15)</f>
        <v>151022.43581248049</v>
      </c>
      <c r="T37" s="1728" t="s">
        <v>1629</v>
      </c>
      <c r="U37" s="1717" t="s">
        <v>1534</v>
      </c>
      <c r="V37" s="1717"/>
      <c r="X37" s="1770"/>
      <c r="Z37" s="1770" t="s">
        <v>1598</v>
      </c>
      <c r="AB37" s="1770"/>
      <c r="AE37" s="1733">
        <f>AE36*AE36*(1/1.15)</f>
        <v>515565.21739130438</v>
      </c>
      <c r="AF37" s="1732" t="e">
        <f>#REF!^2</f>
        <v>#REF!</v>
      </c>
      <c r="AG37" s="1732" t="e">
        <f>#REF!^2</f>
        <v>#REF!</v>
      </c>
      <c r="AH37" s="1732" t="e">
        <f>#REF!^2</f>
        <v>#REF!</v>
      </c>
      <c r="AI37" s="1732" t="e">
        <f>#REF!^2</f>
        <v>#REF!</v>
      </c>
      <c r="AJ37" s="1732" t="e">
        <f>#REF!^2</f>
        <v>#REF!</v>
      </c>
      <c r="AK37" s="1732" t="e">
        <f>#REF!^2</f>
        <v>#REF!</v>
      </c>
    </row>
    <row r="38" spans="1:37" s="647" customFormat="1" x14ac:dyDescent="0.3">
      <c r="A38" s="1813">
        <f t="shared" ca="1" si="2"/>
        <v>21</v>
      </c>
      <c r="B38" s="1822" t="str">
        <f t="shared" ca="1" si="3"/>
        <v>21-Harvested area power density</v>
      </c>
      <c r="C38" s="1717"/>
      <c r="D38" s="1806" t="s">
        <v>1691</v>
      </c>
      <c r="E38" s="1806" t="s">
        <v>1693</v>
      </c>
      <c r="F38" s="1733">
        <f t="shared" ref="F38:M38" si="30">IFERROR(F8/F37,"")</f>
        <v>1.0348276971501842</v>
      </c>
      <c r="G38" s="1733">
        <f t="shared" si="30"/>
        <v>3.1032093301675459</v>
      </c>
      <c r="H38" s="1733">
        <f t="shared" si="30"/>
        <v>10.951310503855284</v>
      </c>
      <c r="I38" s="1733">
        <f t="shared" si="30"/>
        <v>11.460709398778093</v>
      </c>
      <c r="J38" s="1733">
        <f t="shared" si="30"/>
        <v>26.449075394561969</v>
      </c>
      <c r="K38" s="1733">
        <f t="shared" si="30"/>
        <v>30.869475673497572</v>
      </c>
      <c r="L38" s="1733">
        <f t="shared" si="30"/>
        <v>1.0348276971501842</v>
      </c>
      <c r="M38" s="1733">
        <f t="shared" si="30"/>
        <v>3.1032093301675459</v>
      </c>
      <c r="N38" s="1749">
        <f>PI()*N32/4/7^2</f>
        <v>4.7304597732670066</v>
      </c>
      <c r="O38" s="1749">
        <f>PI()*O32/4/7^2</f>
        <v>5.9968891137722311</v>
      </c>
      <c r="P38" s="1749">
        <f>P8/P37</f>
        <v>25.507601265177023</v>
      </c>
      <c r="Q38" s="1749">
        <f>Q8/Q37</f>
        <v>35.710641771247829</v>
      </c>
      <c r="R38" s="1717"/>
      <c r="S38" s="1786">
        <f ca="1">S8/S37</f>
        <v>0.9932299078148229</v>
      </c>
      <c r="T38" s="1728" t="s">
        <v>1583</v>
      </c>
      <c r="U38" s="647" t="s">
        <v>893</v>
      </c>
      <c r="V38" s="1717"/>
      <c r="X38" s="1770"/>
      <c r="Z38" s="1770"/>
      <c r="AB38" s="1770" t="s">
        <v>1613</v>
      </c>
      <c r="AE38" s="1749">
        <f>PI()*AE32/4/7^2</f>
        <v>3.3732501264968793</v>
      </c>
      <c r="AF38" s="1732" t="str">
        <f t="shared" ref="AF38:AK38" si="31">IFERROR(AF8/AF37,"")</f>
        <v/>
      </c>
      <c r="AG38" s="1732" t="str">
        <f t="shared" si="31"/>
        <v/>
      </c>
      <c r="AH38" s="1732" t="str">
        <f t="shared" si="31"/>
        <v/>
      </c>
      <c r="AI38" s="1732" t="str">
        <f t="shared" si="31"/>
        <v/>
      </c>
      <c r="AJ38" s="1732" t="str">
        <f t="shared" si="31"/>
        <v/>
      </c>
      <c r="AK38" s="1732" t="str">
        <f t="shared" si="31"/>
        <v/>
      </c>
    </row>
    <row r="39" spans="1:37" customFormat="1" x14ac:dyDescent="0.3">
      <c r="A39" s="1813">
        <f t="shared" ca="1" si="2"/>
        <v>22</v>
      </c>
      <c r="B39" s="1822" t="str">
        <f t="shared" ca="1" si="3"/>
        <v>22-Harvested area energy density</v>
      </c>
      <c r="C39" s="1717"/>
      <c r="D39" s="1806" t="s">
        <v>1692</v>
      </c>
      <c r="E39" s="1806" t="s">
        <v>1694</v>
      </c>
      <c r="F39" s="1749">
        <f t="shared" ref="F39:Q39" si="32">F38*8760*F11/1000</f>
        <v>4.1566167798392293</v>
      </c>
      <c r="G39" s="1749">
        <f t="shared" si="32"/>
        <v>15.352228473495643</v>
      </c>
      <c r="H39" s="1749">
        <f t="shared" si="32"/>
        <v>55.141648622624423</v>
      </c>
      <c r="I39" s="1749">
        <f t="shared" si="32"/>
        <v>60.01095175762665</v>
      </c>
      <c r="J39" s="1749">
        <f t="shared" si="32"/>
        <v>129.11196188450654</v>
      </c>
      <c r="K39" s="1749">
        <f t="shared" si="32"/>
        <v>154.24333717448457</v>
      </c>
      <c r="L39" s="1749">
        <f t="shared" si="32"/>
        <v>5.4390543762213683</v>
      </c>
      <c r="M39" s="1749">
        <f t="shared" si="32"/>
        <v>14.951262552747238</v>
      </c>
      <c r="N39" s="1749">
        <f t="shared" si="32"/>
        <v>18.647472426218542</v>
      </c>
      <c r="O39" s="1749">
        <f t="shared" si="32"/>
        <v>28.89301175015461</v>
      </c>
      <c r="P39" s="1749">
        <f t="shared" si="32"/>
        <v>22.956841138659318</v>
      </c>
      <c r="Q39" s="1749">
        <f t="shared" si="32"/>
        <v>53.56596265687174</v>
      </c>
      <c r="R39" s="1717"/>
      <c r="S39" s="1786">
        <f ca="1">S38*8760*S11/1000</f>
        <v>3.4994888784416776</v>
      </c>
      <c r="T39" s="1728" t="s">
        <v>1582</v>
      </c>
      <c r="U39" t="s">
        <v>893</v>
      </c>
      <c r="V39" s="1717"/>
      <c r="X39" s="25"/>
      <c r="Z39" s="25"/>
      <c r="AB39" s="25"/>
      <c r="AE39" s="1749">
        <f t="shared" ref="AE39:AK39" si="33">AE38*8760*AE11/1000</f>
        <v>8.8649013324337993</v>
      </c>
      <c r="AF39" s="1749" t="e">
        <f t="shared" si="33"/>
        <v>#VALUE!</v>
      </c>
      <c r="AG39" s="1749" t="e">
        <f t="shared" si="33"/>
        <v>#VALUE!</v>
      </c>
      <c r="AH39" s="1749" t="e">
        <f t="shared" si="33"/>
        <v>#VALUE!</v>
      </c>
      <c r="AI39" s="1749" t="e">
        <f t="shared" si="33"/>
        <v>#VALUE!</v>
      </c>
      <c r="AJ39" s="1749" t="e">
        <f t="shared" si="33"/>
        <v>#VALUE!</v>
      </c>
      <c r="AK39" s="1749" t="e">
        <f t="shared" si="33"/>
        <v>#VALUE!</v>
      </c>
    </row>
    <row r="40" spans="1:37" customFormat="1" x14ac:dyDescent="0.3">
      <c r="A40" s="1813">
        <f t="shared" ca="1" si="2"/>
        <v>23</v>
      </c>
      <c r="B40" s="1822" t="str">
        <f t="shared" ca="1" si="3"/>
        <v>23-Packing density</v>
      </c>
      <c r="C40" s="1717"/>
      <c r="D40" s="1806" t="s">
        <v>1695</v>
      </c>
      <c r="E40" s="1806" t="s">
        <v>1658</v>
      </c>
      <c r="F40" s="1831">
        <f t="shared" ref="F40:S40" si="34">1000000/F37</f>
        <v>6.8988513143345616</v>
      </c>
      <c r="G40" s="1831">
        <f t="shared" si="34"/>
        <v>3.1032093301675459</v>
      </c>
      <c r="H40" s="1831">
        <f t="shared" si="34"/>
        <v>3.6504368346184282</v>
      </c>
      <c r="I40" s="1831">
        <f t="shared" si="34"/>
        <v>2.2921418797556186</v>
      </c>
      <c r="J40" s="1831">
        <f t="shared" si="34"/>
        <v>6.6122688486404924</v>
      </c>
      <c r="K40" s="1831">
        <f t="shared" si="34"/>
        <v>3.8586844591871965</v>
      </c>
      <c r="L40" s="1831">
        <f t="shared" si="34"/>
        <v>6.8988513143345616</v>
      </c>
      <c r="M40" s="1831">
        <f t="shared" si="34"/>
        <v>3.1032093301675459</v>
      </c>
      <c r="N40" s="1831">
        <f t="shared" si="34"/>
        <v>1.5768199244223353</v>
      </c>
      <c r="O40" s="1831">
        <f t="shared" si="34"/>
        <v>0.86205281010475809</v>
      </c>
      <c r="P40" s="1830">
        <f>1000000/P37*P24</f>
        <v>63769.00316294255</v>
      </c>
      <c r="Q40" s="1830">
        <f>1000000/Q37*Q24</f>
        <v>89276.604428119565</v>
      </c>
      <c r="R40" s="1717"/>
      <c r="S40" s="1831">
        <f t="shared" ca="1" si="34"/>
        <v>6.6215327187654855</v>
      </c>
      <c r="T40" s="1737"/>
      <c r="V40" s="1717"/>
      <c r="X40" s="25"/>
      <c r="Z40" s="1776"/>
      <c r="AB40" s="25"/>
      <c r="AE40" s="1831">
        <f t="shared" ref="AE40:AK40" si="35">1000000/AE37</f>
        <v>1.9396188227357056</v>
      </c>
      <c r="AF40" s="1831" t="e">
        <f t="shared" si="35"/>
        <v>#REF!</v>
      </c>
      <c r="AG40" s="1831" t="e">
        <f t="shared" si="35"/>
        <v>#REF!</v>
      </c>
      <c r="AH40" s="1831" t="e">
        <f t="shared" si="35"/>
        <v>#REF!</v>
      </c>
      <c r="AI40" s="1831" t="e">
        <f t="shared" si="35"/>
        <v>#REF!</v>
      </c>
      <c r="AJ40" s="1831" t="e">
        <f t="shared" si="35"/>
        <v>#REF!</v>
      </c>
      <c r="AK40" s="1831" t="e">
        <f t="shared" si="35"/>
        <v>#REF!</v>
      </c>
    </row>
    <row r="41" spans="1:37" customFormat="1" x14ac:dyDescent="0.3">
      <c r="A41" s="1813">
        <f t="shared" ca="1" si="2"/>
        <v>24</v>
      </c>
      <c r="B41" s="1822" t="str">
        <f t="shared" ca="1" si="3"/>
        <v>24-</v>
      </c>
      <c r="C41" s="1777" t="s">
        <v>1567</v>
      </c>
      <c r="D41" s="1806"/>
      <c r="E41" s="1806"/>
      <c r="F41" s="1752"/>
      <c r="G41" s="1752"/>
      <c r="H41" s="1752"/>
      <c r="I41" s="1752"/>
      <c r="J41" s="1752"/>
      <c r="K41" s="1752"/>
      <c r="L41" s="1774"/>
      <c r="M41" s="1752"/>
      <c r="N41" s="1752"/>
      <c r="O41" s="1752"/>
      <c r="P41" s="1752"/>
      <c r="Q41" s="1752"/>
      <c r="R41" s="1717"/>
      <c r="S41" s="1775"/>
      <c r="T41" s="1737"/>
      <c r="V41" s="1717"/>
      <c r="X41" s="25"/>
      <c r="Z41" s="1776"/>
      <c r="AB41" s="25"/>
      <c r="AE41" s="1752"/>
      <c r="AF41" s="1732"/>
      <c r="AG41" s="1732"/>
      <c r="AH41" s="1732"/>
      <c r="AI41" s="1732"/>
      <c r="AJ41" s="1732"/>
      <c r="AK41" s="1732"/>
    </row>
    <row r="42" spans="1:37" customFormat="1" ht="15.6" customHeight="1" x14ac:dyDescent="0.3">
      <c r="A42" s="1813">
        <f t="shared" ca="1" si="2"/>
        <v>25</v>
      </c>
      <c r="B42" s="1822" t="str">
        <f t="shared" ca="1" si="3"/>
        <v>25-Footprint</v>
      </c>
      <c r="C42" s="139"/>
      <c r="D42" s="1806" t="s">
        <v>1567</v>
      </c>
      <c r="E42" s="1806" t="s">
        <v>51</v>
      </c>
      <c r="F42" s="1723">
        <v>600</v>
      </c>
      <c r="G42" s="1723">
        <v>600</v>
      </c>
      <c r="H42" s="1723">
        <v>875</v>
      </c>
      <c r="I42" s="1723">
        <v>1200</v>
      </c>
      <c r="J42" s="1723">
        <v>875</v>
      </c>
      <c r="K42" s="1723">
        <v>1200</v>
      </c>
      <c r="L42" s="1724">
        <f>10*10</f>
        <v>100</v>
      </c>
      <c r="M42" s="1724">
        <f>15*15</f>
        <v>225</v>
      </c>
      <c r="N42" s="1794">
        <f xml:space="preserve"> PI()*((N58/2) + 10)^2</f>
        <v>412.69483152605932</v>
      </c>
      <c r="O42" s="1792">
        <f>50^2</f>
        <v>2500</v>
      </c>
      <c r="P42" s="1749">
        <f>P37</f>
        <v>117612</v>
      </c>
      <c r="Q42" s="1749">
        <f>Q37</f>
        <v>84008.571428571435</v>
      </c>
      <c r="R42" s="1717"/>
      <c r="S42" s="1782">
        <f ca="1">Scenarios!D97*Scenarios!D98</f>
        <v>1200</v>
      </c>
      <c r="T42" s="1728" t="s">
        <v>1526</v>
      </c>
      <c r="U42" s="1717" t="s">
        <v>1533</v>
      </c>
      <c r="V42" s="1717"/>
      <c r="X42" s="25"/>
      <c r="Z42" s="25"/>
      <c r="AB42" s="25"/>
      <c r="AE42" s="1794">
        <f xml:space="preserve"> PI()*((AE58/2) + 10)^2</f>
        <v>403.70133788896629</v>
      </c>
      <c r="AF42" s="1724">
        <f>300*300</f>
        <v>90000</v>
      </c>
      <c r="AG42" s="1724">
        <f>300*300</f>
        <v>90000</v>
      </c>
      <c r="AH42" s="1724">
        <f>300*300</f>
        <v>90000</v>
      </c>
      <c r="AI42" s="1724">
        <f>500*500</f>
        <v>250000</v>
      </c>
      <c r="AJ42" s="1724">
        <f>1045*1000000/22500000000*AJ8</f>
        <v>1044999999.9999999</v>
      </c>
      <c r="AK42" s="1724">
        <f>1045*1000000/22500000000*AK8</f>
        <v>1044999999.9999999</v>
      </c>
    </row>
    <row r="43" spans="1:37" s="647" customFormat="1" x14ac:dyDescent="0.3">
      <c r="A43" s="1906">
        <f t="shared" ca="1" si="2"/>
        <v>26</v>
      </c>
      <c r="B43" s="1907" t="str">
        <f t="shared" ca="1" si="3"/>
        <v>26-Footprint power density</v>
      </c>
      <c r="C43" s="1809"/>
      <c r="D43" s="1806" t="s">
        <v>1568</v>
      </c>
      <c r="E43" s="1806" t="s">
        <v>1560</v>
      </c>
      <c r="F43" s="1733">
        <f t="shared" ref="F43:O43" si="36">IFERROR(F$8/F42,"")</f>
        <v>250</v>
      </c>
      <c r="G43" s="1733">
        <f t="shared" si="36"/>
        <v>1666.6666666666667</v>
      </c>
      <c r="H43" s="1733">
        <f t="shared" si="36"/>
        <v>3428.5714285714284</v>
      </c>
      <c r="I43" s="1733">
        <f t="shared" si="36"/>
        <v>4166.666666666667</v>
      </c>
      <c r="J43" s="1733">
        <f t="shared" si="36"/>
        <v>4571.4285714285716</v>
      </c>
      <c r="K43" s="1733">
        <f t="shared" si="36"/>
        <v>6666.666666666667</v>
      </c>
      <c r="L43" s="1733">
        <f t="shared" si="36"/>
        <v>1500</v>
      </c>
      <c r="M43" s="1733">
        <f t="shared" si="36"/>
        <v>4444.4444444444443</v>
      </c>
      <c r="N43" s="1733">
        <f t="shared" si="36"/>
        <v>8359.6879254402593</v>
      </c>
      <c r="O43" s="1733">
        <f t="shared" si="36"/>
        <v>3200</v>
      </c>
      <c r="P43" s="1733">
        <f t="shared" ref="P43" si="37">IFERROR(P$8/P42,"")</f>
        <v>25.507601265177023</v>
      </c>
      <c r="Q43" s="1733">
        <f>IFERROR(Q$8/Q42,"")</f>
        <v>35.710641771247829</v>
      </c>
      <c r="R43" s="1717"/>
      <c r="S43" s="1786">
        <f ca="1">S8/S42</f>
        <v>125</v>
      </c>
      <c r="T43" s="1728" t="s">
        <v>1584</v>
      </c>
      <c r="U43" s="647" t="s">
        <v>893</v>
      </c>
      <c r="V43" s="1717"/>
      <c r="X43" s="1770"/>
      <c r="Z43" s="1770"/>
      <c r="AB43" s="1770"/>
      <c r="AE43" s="1733">
        <f t="shared" ref="AE43:AK43" si="38">IFERROR(AE$8/AE42,"")</f>
        <v>4954.1574730923448</v>
      </c>
      <c r="AF43" s="1733">
        <f t="shared" si="38"/>
        <v>5555.5555555555557</v>
      </c>
      <c r="AG43" s="1733">
        <f t="shared" si="38"/>
        <v>333.33333333333331</v>
      </c>
      <c r="AH43" s="1733">
        <f t="shared" si="38"/>
        <v>5555.5555555555557</v>
      </c>
      <c r="AI43" s="1733">
        <f t="shared" si="38"/>
        <v>4800</v>
      </c>
      <c r="AJ43" s="1733">
        <f t="shared" si="38"/>
        <v>21.5311004784689</v>
      </c>
      <c r="AK43" s="1733">
        <f t="shared" si="38"/>
        <v>21.5311004784689</v>
      </c>
    </row>
    <row r="44" spans="1:37" s="647" customFormat="1" x14ac:dyDescent="0.3">
      <c r="A44" s="1813">
        <f t="shared" ca="1" si="2"/>
        <v>27</v>
      </c>
      <c r="B44" s="1822" t="str">
        <f t="shared" ca="1" si="3"/>
        <v>27-Footprint energy density</v>
      </c>
      <c r="C44" s="139"/>
      <c r="D44" s="1806" t="s">
        <v>1581</v>
      </c>
      <c r="E44" s="1806" t="s">
        <v>1561</v>
      </c>
      <c r="F44" s="1749">
        <f t="shared" ref="F44:O44" si="39">F43*8760*F$11/1000000</f>
        <v>1.0041808871385429</v>
      </c>
      <c r="G44" s="1749">
        <f t="shared" si="39"/>
        <v>8.2453501306160994</v>
      </c>
      <c r="H44" s="1749">
        <f t="shared" si="39"/>
        <v>17.263420749991496</v>
      </c>
      <c r="I44" s="1749">
        <f t="shared" si="39"/>
        <v>21.817640045048478</v>
      </c>
      <c r="J44" s="1749">
        <f t="shared" si="39"/>
        <v>22.315566902326673</v>
      </c>
      <c r="K44" s="1749">
        <f t="shared" si="39"/>
        <v>33.310864278118679</v>
      </c>
      <c r="L44" s="1749">
        <f t="shared" si="39"/>
        <v>7.8840000000000003</v>
      </c>
      <c r="M44" s="1749">
        <f t="shared" si="39"/>
        <v>21.413333333333338</v>
      </c>
      <c r="N44" s="1749">
        <f t="shared" si="39"/>
        <v>32.953889802085506</v>
      </c>
      <c r="O44" s="1749">
        <f t="shared" si="39"/>
        <v>15.417600000000002</v>
      </c>
      <c r="P44" s="1795">
        <f t="shared" ref="P44" si="40">P43*8760*P$11/1000000</f>
        <v>2.2956841138659319E-2</v>
      </c>
      <c r="Q44" s="1795">
        <f>Q43*8760*Q$11/1000000</f>
        <v>5.3565962656871746E-2</v>
      </c>
      <c r="R44" s="1717"/>
      <c r="S44" s="1786">
        <f ca="1">S43*8760*S$11/1000000</f>
        <v>0.4404177787674563</v>
      </c>
      <c r="T44" s="1728" t="s">
        <v>1585</v>
      </c>
      <c r="U44" s="647" t="s">
        <v>893</v>
      </c>
      <c r="V44" s="1717"/>
      <c r="X44" s="1770"/>
      <c r="Z44" s="1770"/>
      <c r="AB44" s="1770"/>
      <c r="AE44" s="1749">
        <f t="shared" ref="AE44:AK44" si="41">AE43*8760*AE$11/1000000</f>
        <v>13.019525839286683</v>
      </c>
      <c r="AF44" s="1749" t="e">
        <f t="shared" si="41"/>
        <v>#VALUE!</v>
      </c>
      <c r="AG44" s="1749" t="e">
        <f t="shared" si="41"/>
        <v>#VALUE!</v>
      </c>
      <c r="AH44" s="1749" t="e">
        <f t="shared" si="41"/>
        <v>#VALUE!</v>
      </c>
      <c r="AI44" s="1749" t="e">
        <f t="shared" si="41"/>
        <v>#VALUE!</v>
      </c>
      <c r="AJ44" s="1749" t="e">
        <f t="shared" si="41"/>
        <v>#VALUE!</v>
      </c>
      <c r="AK44" s="1749" t="e">
        <f t="shared" si="41"/>
        <v>#VALUE!</v>
      </c>
    </row>
    <row r="45" spans="1:37" customFormat="1" x14ac:dyDescent="0.3">
      <c r="A45" s="1813">
        <f t="shared" ca="1" si="2"/>
        <v>28</v>
      </c>
      <c r="B45" s="1822" t="str">
        <f t="shared" ca="1" si="3"/>
        <v>28-</v>
      </c>
      <c r="C45" s="139"/>
      <c r="D45" s="1806"/>
      <c r="E45" s="1806"/>
      <c r="F45" s="1752"/>
      <c r="G45" s="1752"/>
      <c r="H45" s="1752"/>
      <c r="I45" s="1752"/>
      <c r="J45" s="1752"/>
      <c r="K45" s="1752"/>
      <c r="L45" s="1774"/>
      <c r="M45" s="1752"/>
      <c r="N45" s="1752"/>
      <c r="O45" s="1752"/>
      <c r="P45" s="1752"/>
      <c r="Q45" s="1752"/>
      <c r="R45" s="1717"/>
      <c r="S45" s="1775"/>
      <c r="T45" s="1737"/>
      <c r="V45" s="1717"/>
      <c r="X45" s="25"/>
      <c r="Z45" s="1776"/>
      <c r="AB45" s="25"/>
      <c r="AE45" s="1752"/>
      <c r="AF45" s="1732"/>
      <c r="AG45" s="1732"/>
      <c r="AH45" s="1732"/>
      <c r="AI45" s="1732"/>
      <c r="AJ45" s="1732"/>
      <c r="AK45" s="1732"/>
    </row>
    <row r="46" spans="1:37" customFormat="1" x14ac:dyDescent="0.3">
      <c r="A46" s="1813">
        <f t="shared" ca="1" si="2"/>
        <v>29</v>
      </c>
      <c r="B46" s="1822" t="str">
        <f t="shared" ca="1" si="3"/>
        <v>29-</v>
      </c>
      <c r="C46" s="1777" t="s">
        <v>1567</v>
      </c>
      <c r="D46" s="1806"/>
      <c r="E46" s="1806"/>
      <c r="F46" s="1752"/>
      <c r="G46" s="1752"/>
      <c r="H46" s="1752"/>
      <c r="I46" s="1752"/>
      <c r="J46" s="1752"/>
      <c r="K46" s="1752"/>
      <c r="L46" s="1774"/>
      <c r="M46" s="1752"/>
      <c r="N46" s="1752"/>
      <c r="O46" s="1752"/>
      <c r="P46" s="1752"/>
      <c r="Q46" s="1752"/>
      <c r="R46" s="1717"/>
      <c r="S46" s="1775"/>
      <c r="T46" s="1737"/>
      <c r="V46" s="1717"/>
      <c r="X46" s="25"/>
      <c r="Z46" s="1776"/>
      <c r="AB46" s="25"/>
      <c r="AE46" s="1752"/>
      <c r="AF46" s="1732"/>
      <c r="AG46" s="1732"/>
      <c r="AH46" s="1732"/>
      <c r="AI46" s="1732"/>
      <c r="AJ46" s="1732"/>
      <c r="AK46" s="1732"/>
    </row>
    <row r="47" spans="1:37" customFormat="1" ht="15.6" customHeight="1" x14ac:dyDescent="0.3">
      <c r="A47" s="1813">
        <f t="shared" ca="1" si="2"/>
        <v>30</v>
      </c>
      <c r="B47" s="1822" t="str">
        <f t="shared" ca="1" si="3"/>
        <v>30-Working surface mass</v>
      </c>
      <c r="C47" s="1777"/>
      <c r="D47" s="1806" t="s">
        <v>1654</v>
      </c>
      <c r="E47" s="1806" t="s">
        <v>173</v>
      </c>
      <c r="F47" s="1723">
        <v>469.19718247684995</v>
      </c>
      <c r="G47" s="1723">
        <v>3484.9389826080001</v>
      </c>
      <c r="H47" s="1723">
        <v>11432.508781706269</v>
      </c>
      <c r="I47" s="1723">
        <v>22413</v>
      </c>
      <c r="J47" s="1723">
        <v>9239</v>
      </c>
      <c r="K47" s="1723">
        <v>18356</v>
      </c>
      <c r="L47" s="1741">
        <v>200</v>
      </c>
      <c r="M47" s="1741">
        <v>2000</v>
      </c>
      <c r="N47" s="1740">
        <f>N8/AE8*AE47</f>
        <v>10005</v>
      </c>
      <c r="O47" s="1740">
        <f>O8/AE8*AE47</f>
        <v>23200</v>
      </c>
      <c r="P47" s="1796">
        <f>23*P49</f>
        <v>172500</v>
      </c>
      <c r="Q47" s="1796">
        <f>23*Q49</f>
        <v>172500</v>
      </c>
      <c r="R47" s="1717"/>
      <c r="S47" s="1768">
        <f ca="1">Mp</f>
        <v>436.56955251936</v>
      </c>
      <c r="T47" s="162" t="s">
        <v>389</v>
      </c>
      <c r="U47" s="1717" t="s">
        <v>1546</v>
      </c>
      <c r="V47" s="1717"/>
      <c r="X47" s="25"/>
      <c r="Z47" s="25"/>
      <c r="AB47" s="25" t="s">
        <v>1610</v>
      </c>
      <c r="AE47" s="1740">
        <v>5800</v>
      </c>
      <c r="AF47" s="1732"/>
      <c r="AG47" s="1732"/>
      <c r="AH47" s="1732"/>
      <c r="AI47" s="1732"/>
      <c r="AJ47" s="1732"/>
      <c r="AK47" s="1732"/>
    </row>
    <row r="48" spans="1:37" customFormat="1" ht="15" customHeight="1" x14ac:dyDescent="0.3">
      <c r="A48" s="1813">
        <f t="shared" ca="1" si="2"/>
        <v>31</v>
      </c>
      <c r="B48" s="1822" t="str">
        <f t="shared" ca="1" si="3"/>
        <v>31-Working surface specific power/mass</v>
      </c>
      <c r="C48" s="139"/>
      <c r="D48" s="1806" t="s">
        <v>1655</v>
      </c>
      <c r="E48" s="1806" t="s">
        <v>1562</v>
      </c>
      <c r="F48" s="1733">
        <f t="shared" ref="F48:O48" si="42">IFERROR(F$8/F47,"")</f>
        <v>319.69501438214832</v>
      </c>
      <c r="G48" s="1733">
        <f t="shared" si="42"/>
        <v>286.94906998102931</v>
      </c>
      <c r="H48" s="1733">
        <f t="shared" si="42"/>
        <v>262.40959506634715</v>
      </c>
      <c r="I48" s="1733">
        <f t="shared" si="42"/>
        <v>223.08481684736537</v>
      </c>
      <c r="J48" s="1733">
        <f t="shared" si="42"/>
        <v>432.94728866760471</v>
      </c>
      <c r="K48" s="1733">
        <f t="shared" si="42"/>
        <v>435.82479843103073</v>
      </c>
      <c r="L48" s="1733">
        <f t="shared" si="42"/>
        <v>750</v>
      </c>
      <c r="M48" s="1733">
        <f t="shared" si="42"/>
        <v>500</v>
      </c>
      <c r="N48" s="1733">
        <f t="shared" si="42"/>
        <v>344.82758620689657</v>
      </c>
      <c r="O48" s="1733">
        <f t="shared" si="42"/>
        <v>344.82758620689657</v>
      </c>
      <c r="P48" s="1733">
        <f>IFERROR(P$8/P47,"")</f>
        <v>17.391304347826086</v>
      </c>
      <c r="Q48" s="1733">
        <f>IFERROR(Q$8/Q47,"")</f>
        <v>17.391304347826086</v>
      </c>
      <c r="R48" s="1717"/>
      <c r="S48" s="1782">
        <f ca="1">S8/S47</f>
        <v>343.58786391395938</v>
      </c>
      <c r="T48" s="1729" t="s">
        <v>1586</v>
      </c>
      <c r="U48" t="s">
        <v>893</v>
      </c>
      <c r="V48" s="1717"/>
      <c r="X48" s="25"/>
      <c r="Z48" s="25"/>
      <c r="AB48" s="25"/>
      <c r="AE48" s="1733">
        <f t="shared" ref="AE48:AK48" si="43">IFERROR(AE$8/AE47,"")</f>
        <v>344.82758620689657</v>
      </c>
      <c r="AF48" s="1732" t="str">
        <f t="shared" si="43"/>
        <v/>
      </c>
      <c r="AG48" s="1732" t="str">
        <f t="shared" si="43"/>
        <v/>
      </c>
      <c r="AH48" s="1732" t="str">
        <f t="shared" si="43"/>
        <v/>
      </c>
      <c r="AI48" s="1732" t="str">
        <f t="shared" si="43"/>
        <v/>
      </c>
      <c r="AJ48" s="1732" t="str">
        <f t="shared" si="43"/>
        <v/>
      </c>
      <c r="AK48" s="1732" t="str">
        <f t="shared" si="43"/>
        <v/>
      </c>
    </row>
    <row r="49" spans="1:38" customFormat="1" x14ac:dyDescent="0.3">
      <c r="A49" s="1813">
        <f t="shared" ca="1" si="2"/>
        <v>32</v>
      </c>
      <c r="B49" s="1822" t="str">
        <f t="shared" ca="1" si="3"/>
        <v>32-Nr Working surfaces</v>
      </c>
      <c r="C49" s="1809"/>
      <c r="D49" s="1806" t="s">
        <v>1650</v>
      </c>
      <c r="E49" s="1806" t="s">
        <v>294</v>
      </c>
      <c r="F49" s="1748">
        <f t="shared" ref="F49:Q49" si="44">F24</f>
        <v>1</v>
      </c>
      <c r="G49" s="1748">
        <f t="shared" si="44"/>
        <v>1</v>
      </c>
      <c r="H49" s="1748">
        <f t="shared" si="44"/>
        <v>1</v>
      </c>
      <c r="I49" s="1748">
        <f t="shared" si="44"/>
        <v>1</v>
      </c>
      <c r="J49" s="1748">
        <f t="shared" si="44"/>
        <v>1</v>
      </c>
      <c r="K49" s="1797">
        <f t="shared" si="44"/>
        <v>1</v>
      </c>
      <c r="L49" s="1748">
        <f t="shared" si="44"/>
        <v>1</v>
      </c>
      <c r="M49" s="1748">
        <f t="shared" si="44"/>
        <v>1</v>
      </c>
      <c r="N49" s="1748">
        <f t="shared" si="44"/>
        <v>3</v>
      </c>
      <c r="O49" s="1748">
        <f t="shared" si="44"/>
        <v>3</v>
      </c>
      <c r="P49" s="1748">
        <f t="shared" si="44"/>
        <v>7500</v>
      </c>
      <c r="Q49" s="1748">
        <f t="shared" si="44"/>
        <v>7500</v>
      </c>
      <c r="R49" s="1717"/>
      <c r="S49" s="1567">
        <v>1</v>
      </c>
      <c r="T49" s="1731" t="s">
        <v>893</v>
      </c>
      <c r="U49" s="25" t="s">
        <v>1591</v>
      </c>
      <c r="V49" s="1717"/>
      <c r="X49" s="25"/>
      <c r="Z49" s="25"/>
      <c r="AB49" s="25" t="s">
        <v>1610</v>
      </c>
      <c r="AE49" s="1748">
        <f>AE24</f>
        <v>3</v>
      </c>
      <c r="AF49" s="1732"/>
      <c r="AG49" s="1732"/>
      <c r="AH49" s="1732"/>
      <c r="AI49" s="1732"/>
      <c r="AJ49" s="1732"/>
      <c r="AK49" s="1732"/>
    </row>
    <row r="50" spans="1:38" customFormat="1" x14ac:dyDescent="0.3">
      <c r="A50" s="1813">
        <f t="shared" ca="1" si="2"/>
        <v>33</v>
      </c>
      <c r="B50" s="1822" t="str">
        <f t="shared" ca="1" si="3"/>
        <v>33-Structure mass</v>
      </c>
      <c r="C50" s="139"/>
      <c r="D50" s="1806" t="s">
        <v>484</v>
      </c>
      <c r="E50" s="1806" t="s">
        <v>173</v>
      </c>
      <c r="F50" s="1724">
        <v>19100</v>
      </c>
      <c r="G50" s="1724">
        <v>52300</v>
      </c>
      <c r="H50" s="1724">
        <v>150000</v>
      </c>
      <c r="I50" s="1740">
        <v>260000</v>
      </c>
      <c r="J50" s="1724">
        <v>150000</v>
      </c>
      <c r="K50" s="1724">
        <v>260000</v>
      </c>
      <c r="L50" s="1724">
        <f>F50/5</f>
        <v>3820</v>
      </c>
      <c r="M50" s="1724">
        <f>G50/5</f>
        <v>10460</v>
      </c>
      <c r="N50" s="1724">
        <f>N8/$AE$8*$AE$50</f>
        <v>439875</v>
      </c>
      <c r="O50" s="1724">
        <f>O8/$AE$8*$AE$50</f>
        <v>1020000</v>
      </c>
      <c r="P50" s="1724">
        <f>30000*(P8)/10^6</f>
        <v>90000</v>
      </c>
      <c r="Q50" s="1724">
        <f>30000*(Q8)/10^6</f>
        <v>90000</v>
      </c>
      <c r="R50" s="1717"/>
      <c r="S50" s="1798" t="s">
        <v>893</v>
      </c>
      <c r="T50" s="1731" t="s">
        <v>893</v>
      </c>
      <c r="U50" s="1717" t="s">
        <v>1547</v>
      </c>
      <c r="V50" s="1717"/>
      <c r="X50" s="25"/>
      <c r="Z50" s="25"/>
      <c r="AB50" s="25"/>
      <c r="AE50" s="1724">
        <f>255*1000</f>
        <v>255000</v>
      </c>
      <c r="AF50" s="1732"/>
      <c r="AG50" s="1732"/>
      <c r="AH50" s="1732"/>
      <c r="AI50" s="1732"/>
      <c r="AJ50" s="1732"/>
      <c r="AK50" s="1732"/>
    </row>
    <row r="51" spans="1:38" customFormat="1" x14ac:dyDescent="0.3">
      <c r="A51" s="1813">
        <f t="shared" ca="1" si="2"/>
        <v>34</v>
      </c>
      <c r="B51" s="1822" t="str">
        <f t="shared" ca="1" si="3"/>
        <v>34-Other system mass</v>
      </c>
      <c r="C51" s="139"/>
      <c r="D51" s="1806" t="s">
        <v>1571</v>
      </c>
      <c r="E51" s="1806" t="s">
        <v>173</v>
      </c>
      <c r="F51" s="1724">
        <v>22200</v>
      </c>
      <c r="G51" s="1741">
        <f>G8*F51/F8</f>
        <v>148000</v>
      </c>
      <c r="H51" s="1724">
        <v>100000</v>
      </c>
      <c r="I51" s="1740">
        <v>150000</v>
      </c>
      <c r="J51" s="1724">
        <v>100000</v>
      </c>
      <c r="K51" s="1724">
        <v>150000</v>
      </c>
      <c r="L51" s="1747">
        <f>F51</f>
        <v>22200</v>
      </c>
      <c r="M51" s="1747">
        <f>G51</f>
        <v>148000</v>
      </c>
      <c r="N51" s="1724">
        <f>N8/$AE$8*$AE$51</f>
        <v>182850</v>
      </c>
      <c r="O51" s="1724">
        <f>O8/$AE$8*$AE$51</f>
        <v>424000</v>
      </c>
      <c r="P51" s="1741">
        <f>P50</f>
        <v>90000</v>
      </c>
      <c r="Q51" s="1741">
        <f>Q50</f>
        <v>90000</v>
      </c>
      <c r="R51" s="1717"/>
      <c r="S51" s="1798" t="s">
        <v>893</v>
      </c>
      <c r="T51" s="1731" t="s">
        <v>893</v>
      </c>
      <c r="U51" s="1717" t="s">
        <v>1548</v>
      </c>
      <c r="V51" s="1717"/>
      <c r="X51" s="25"/>
      <c r="Z51" s="25"/>
      <c r="AB51" s="25"/>
      <c r="AE51" s="1724">
        <f>106000</f>
        <v>106000</v>
      </c>
      <c r="AF51" s="1732"/>
      <c r="AG51" s="1732"/>
      <c r="AH51" s="1732"/>
      <c r="AI51" s="1732"/>
      <c r="AJ51" s="1724">
        <v>463000000</v>
      </c>
      <c r="AK51" s="1724">
        <v>463000000</v>
      </c>
    </row>
    <row r="52" spans="1:38" customFormat="1" x14ac:dyDescent="0.3">
      <c r="A52" s="1813">
        <f t="shared" ca="1" si="2"/>
        <v>35</v>
      </c>
      <c r="B52" s="1822" t="str">
        <f t="shared" ca="1" si="3"/>
        <v>35-Foundation mass</v>
      </c>
      <c r="D52" s="1806" t="s">
        <v>1572</v>
      </c>
      <c r="E52" s="1806" t="s">
        <v>173</v>
      </c>
      <c r="F52" s="1724">
        <f>F50/2</f>
        <v>9550</v>
      </c>
      <c r="G52" s="1724">
        <f>G50/2</f>
        <v>26150</v>
      </c>
      <c r="H52" s="1724">
        <f>AE52/10</f>
        <v>57600</v>
      </c>
      <c r="I52" s="1724">
        <v>1300000</v>
      </c>
      <c r="J52" s="1724">
        <f>N52/10</f>
        <v>99360</v>
      </c>
      <c r="K52" s="1724">
        <v>1670000</v>
      </c>
      <c r="L52" s="1724">
        <f>F52/2</f>
        <v>4775</v>
      </c>
      <c r="M52" s="1724">
        <f>G52/2</f>
        <v>13075</v>
      </c>
      <c r="N52" s="1724">
        <f>N8/$AE$8*$AE$52</f>
        <v>993600</v>
      </c>
      <c r="O52" s="1724">
        <f>13500000/5*8</f>
        <v>21600000</v>
      </c>
      <c r="P52" s="1741">
        <f>2*P50</f>
        <v>180000</v>
      </c>
      <c r="Q52" s="1741">
        <f>2*Q50</f>
        <v>180000</v>
      </c>
      <c r="R52" s="1717"/>
      <c r="S52" s="1798" t="s">
        <v>893</v>
      </c>
      <c r="T52" s="1731" t="s">
        <v>893</v>
      </c>
      <c r="U52" s="1717" t="s">
        <v>1549</v>
      </c>
      <c r="V52" s="1717"/>
      <c r="X52" s="25"/>
      <c r="Z52" s="25"/>
      <c r="AB52" s="25"/>
      <c r="AE52" s="1724">
        <f>240*2.4*1000</f>
        <v>576000</v>
      </c>
      <c r="AF52" s="1732"/>
      <c r="AG52" s="1732"/>
      <c r="AH52" s="1732"/>
      <c r="AI52" s="1732"/>
      <c r="AJ52" s="1724">
        <f>8000000*2.4</f>
        <v>19200000</v>
      </c>
      <c r="AK52" s="1724">
        <f>8000000*2.4</f>
        <v>19200000</v>
      </c>
    </row>
    <row r="53" spans="1:38" customFormat="1" x14ac:dyDescent="0.3">
      <c r="A53" s="1813">
        <f t="shared" ca="1" si="2"/>
        <v>36</v>
      </c>
      <c r="B53" s="1822" t="str">
        <f t="shared" ca="1" si="3"/>
        <v>36-BOP mass</v>
      </c>
      <c r="D53" s="1806" t="s">
        <v>1573</v>
      </c>
      <c r="E53" s="1806" t="s">
        <v>173</v>
      </c>
      <c r="F53" s="1724">
        <f t="shared" ref="F53:K53" si="45">F51/5</f>
        <v>4440</v>
      </c>
      <c r="G53" s="1724">
        <f t="shared" si="45"/>
        <v>29600</v>
      </c>
      <c r="H53" s="1724">
        <f t="shared" si="45"/>
        <v>20000</v>
      </c>
      <c r="I53" s="1724">
        <f t="shared" si="45"/>
        <v>30000</v>
      </c>
      <c r="J53" s="1724">
        <f t="shared" si="45"/>
        <v>20000</v>
      </c>
      <c r="K53" s="1724">
        <f t="shared" si="45"/>
        <v>30000</v>
      </c>
      <c r="L53" s="1724">
        <f>F53</f>
        <v>4440</v>
      </c>
      <c r="M53" s="1724">
        <f>G53</f>
        <v>29600</v>
      </c>
      <c r="N53" s="1724">
        <f>N8/$AE$8*$AE$53</f>
        <v>17250</v>
      </c>
      <c r="O53" s="1724">
        <f>O8/$AE$8*$AE$53</f>
        <v>40000</v>
      </c>
      <c r="P53" s="1741">
        <v>30000</v>
      </c>
      <c r="Q53" s="1741">
        <v>30000</v>
      </c>
      <c r="R53" s="1717"/>
      <c r="S53" s="1798" t="s">
        <v>893</v>
      </c>
      <c r="T53" s="1731" t="s">
        <v>893</v>
      </c>
      <c r="U53" t="s">
        <v>893</v>
      </c>
      <c r="V53" s="1717"/>
      <c r="X53" s="1725"/>
      <c r="Y53" s="1717"/>
      <c r="Z53" s="1725"/>
      <c r="AA53" s="1717"/>
      <c r="AB53" s="1725"/>
      <c r="AC53" s="1717"/>
      <c r="AD53" s="1717"/>
      <c r="AE53" s="1724">
        <v>10000</v>
      </c>
      <c r="AF53" s="1732"/>
      <c r="AG53" s="1732"/>
      <c r="AH53" s="1732"/>
      <c r="AI53" s="1732"/>
      <c r="AJ53" s="1724"/>
      <c r="AK53" s="1724"/>
      <c r="AL53" s="1717"/>
    </row>
    <row r="54" spans="1:38" s="647" customFormat="1" x14ac:dyDescent="0.3">
      <c r="A54" s="1813">
        <f t="shared" ca="1" si="2"/>
        <v>37</v>
      </c>
      <c r="B54" s="1822" t="str">
        <f t="shared" ca="1" si="3"/>
        <v>37-Total mass</v>
      </c>
      <c r="D54" s="1806" t="s">
        <v>1574</v>
      </c>
      <c r="E54" s="1806" t="s">
        <v>173</v>
      </c>
      <c r="F54" s="1751">
        <f t="shared" ref="F54:M54" si="46">F47*F49+F50+F51+F52+F53</f>
        <v>55759.197182476855</v>
      </c>
      <c r="G54" s="1751">
        <f t="shared" si="46"/>
        <v>259534.938982608</v>
      </c>
      <c r="H54" s="1751">
        <f t="shared" si="46"/>
        <v>339032.50878170627</v>
      </c>
      <c r="I54" s="1751">
        <f t="shared" si="46"/>
        <v>1762413</v>
      </c>
      <c r="J54" s="1751">
        <f t="shared" si="46"/>
        <v>378599</v>
      </c>
      <c r="K54" s="1751">
        <f t="shared" si="46"/>
        <v>2128356</v>
      </c>
      <c r="L54" s="1751">
        <f t="shared" si="46"/>
        <v>35435</v>
      </c>
      <c r="M54" s="1751">
        <f t="shared" si="46"/>
        <v>203135</v>
      </c>
      <c r="N54" s="1799">
        <f t="shared" ref="N54:O54" si="47">SUM(N50:N53)+N49*N47</f>
        <v>1663590</v>
      </c>
      <c r="O54" s="1799">
        <f t="shared" si="47"/>
        <v>23153600</v>
      </c>
      <c r="P54" s="1751">
        <f>P47+P50+P51+P52+P53</f>
        <v>562500</v>
      </c>
      <c r="Q54" s="1751">
        <f>Q47+Q50+Q51+Q52+Q53</f>
        <v>562500</v>
      </c>
      <c r="R54" s="1717"/>
      <c r="S54" s="1800" t="s">
        <v>893</v>
      </c>
      <c r="T54" s="1731" t="s">
        <v>893</v>
      </c>
      <c r="U54" s="1722" t="s">
        <v>893</v>
      </c>
      <c r="V54" s="1717"/>
      <c r="X54" s="1725"/>
      <c r="Y54" s="1717"/>
      <c r="Z54" s="1725" t="s">
        <v>1608</v>
      </c>
      <c r="AA54" s="1717"/>
      <c r="AB54" s="1725"/>
      <c r="AC54" s="1717"/>
      <c r="AD54" s="1717"/>
      <c r="AE54" s="1799">
        <f>SUM(AE50:AE53)+AE49*AE47</f>
        <v>964400</v>
      </c>
      <c r="AF54" s="1732">
        <f t="shared" ref="AF54:AK54" si="48">AF47*AF49+AF50+AF51+AF52+AF53</f>
        <v>0</v>
      </c>
      <c r="AG54" s="1732">
        <f t="shared" si="48"/>
        <v>0</v>
      </c>
      <c r="AH54" s="1732">
        <f t="shared" si="48"/>
        <v>0</v>
      </c>
      <c r="AI54" s="1732">
        <f t="shared" si="48"/>
        <v>0</v>
      </c>
      <c r="AJ54" s="1733">
        <f t="shared" si="48"/>
        <v>482200000</v>
      </c>
      <c r="AK54" s="1733">
        <f t="shared" si="48"/>
        <v>482200000</v>
      </c>
      <c r="AL54" s="1717"/>
    </row>
    <row r="55" spans="1:38" customFormat="1" x14ac:dyDescent="0.3">
      <c r="A55" s="1813">
        <f t="shared" ca="1" si="2"/>
        <v>38</v>
      </c>
      <c r="B55" s="1822" t="str">
        <f t="shared" ca="1" si="3"/>
        <v>38-Specific mass</v>
      </c>
      <c r="D55" s="1808" t="s">
        <v>1575</v>
      </c>
      <c r="E55" s="1808" t="s">
        <v>1562</v>
      </c>
      <c r="F55" s="1736">
        <f t="shared" ref="F55:O55" si="49">IFERROR(F8/F54,0)</f>
        <v>2.6901391623181348</v>
      </c>
      <c r="G55" s="1736">
        <f t="shared" si="49"/>
        <v>3.8530457745691504</v>
      </c>
      <c r="H55" s="1736">
        <f t="shared" si="49"/>
        <v>8.8487089653447288</v>
      </c>
      <c r="I55" s="1736">
        <f t="shared" si="49"/>
        <v>2.8370194727342568</v>
      </c>
      <c r="J55" s="1736">
        <f t="shared" si="49"/>
        <v>10.565268265367843</v>
      </c>
      <c r="K55" s="1736">
        <f t="shared" si="49"/>
        <v>3.7587696795085033</v>
      </c>
      <c r="L55" s="1736">
        <f t="shared" si="49"/>
        <v>4.2331028643996049</v>
      </c>
      <c r="M55" s="1736">
        <f t="shared" si="49"/>
        <v>4.9228345681443377</v>
      </c>
      <c r="N55" s="1736">
        <f t="shared" si="49"/>
        <v>2.0738282870178351</v>
      </c>
      <c r="O55" s="1736">
        <f t="shared" si="49"/>
        <v>0.34551862345380419</v>
      </c>
      <c r="P55" s="1736">
        <f>(P8)/P54</f>
        <v>5.333333333333333</v>
      </c>
      <c r="Q55" s="1736">
        <f>(Q8)/Q54</f>
        <v>5.333333333333333</v>
      </c>
      <c r="R55" s="1717"/>
      <c r="S55" s="1798" t="s">
        <v>893</v>
      </c>
      <c r="T55" s="1731" t="s">
        <v>893</v>
      </c>
      <c r="U55" t="s">
        <v>893</v>
      </c>
      <c r="V55" s="1717"/>
      <c r="X55" s="25"/>
      <c r="Z55" s="25"/>
      <c r="AB55" s="25"/>
      <c r="AE55" s="1736">
        <f t="shared" ref="AE55:AK55" si="50">IFERROR(AE8/AE54,0)</f>
        <v>2.0738282870178351</v>
      </c>
      <c r="AF55" s="1750">
        <f t="shared" si="50"/>
        <v>0</v>
      </c>
      <c r="AG55" s="1750">
        <f t="shared" si="50"/>
        <v>0</v>
      </c>
      <c r="AH55" s="1750">
        <f t="shared" si="50"/>
        <v>0</v>
      </c>
      <c r="AI55" s="1750">
        <f t="shared" si="50"/>
        <v>0</v>
      </c>
      <c r="AJ55" s="1736">
        <f t="shared" si="50"/>
        <v>46.661136457901286</v>
      </c>
      <c r="AK55" s="1736">
        <f t="shared" si="50"/>
        <v>46.661136457901286</v>
      </c>
    </row>
    <row r="56" spans="1:38" s="89" customFormat="1" x14ac:dyDescent="0.3">
      <c r="A56" s="1823">
        <f t="shared" ca="1" si="2"/>
        <v>39</v>
      </c>
      <c r="B56" s="1824" t="str">
        <f t="shared" ca="1" si="3"/>
        <v>39-Specific energy</v>
      </c>
      <c r="D56" s="1825" t="s">
        <v>1632</v>
      </c>
      <c r="E56" s="1825" t="s">
        <v>1646</v>
      </c>
      <c r="F56" s="1826">
        <f t="shared" ref="F56:Q56" si="51">F11*8760*F55/1000</f>
        <v>10.805545322171044</v>
      </c>
      <c r="G56" s="1826">
        <f t="shared" si="51"/>
        <v>19.061826888368131</v>
      </c>
      <c r="H56" s="1826">
        <f t="shared" si="51"/>
        <v>44.554704239198998</v>
      </c>
      <c r="I56" s="1826">
        <f t="shared" si="51"/>
        <v>14.855296717658218</v>
      </c>
      <c r="J56" s="1826">
        <f t="shared" si="51"/>
        <v>51.574676741184845</v>
      </c>
      <c r="K56" s="1826">
        <f t="shared" si="51"/>
        <v>18.781179997022306</v>
      </c>
      <c r="L56" s="1826">
        <f t="shared" si="51"/>
        <v>22.249188655284325</v>
      </c>
      <c r="M56" s="1826">
        <f t="shared" si="51"/>
        <v>23.718216949319419</v>
      </c>
      <c r="N56" s="1826">
        <f t="shared" si="51"/>
        <v>8.1750311074243047</v>
      </c>
      <c r="O56" s="1826">
        <f t="shared" si="51"/>
        <v>1.6647087278004284</v>
      </c>
      <c r="P56" s="1826">
        <f t="shared" si="51"/>
        <v>4.8</v>
      </c>
      <c r="Q56" s="1826">
        <f t="shared" si="51"/>
        <v>8</v>
      </c>
      <c r="R56" s="1755"/>
      <c r="S56" s="1828" t="s">
        <v>893</v>
      </c>
      <c r="T56" s="1829" t="s">
        <v>893</v>
      </c>
      <c r="U56" s="89" t="s">
        <v>893</v>
      </c>
      <c r="V56" s="1755"/>
      <c r="X56" s="1492"/>
      <c r="Z56" s="1492"/>
      <c r="AB56" s="1492"/>
      <c r="AE56" s="1826">
        <f>AE11*8760*AE55/1000</f>
        <v>5.4500207382828707</v>
      </c>
      <c r="AF56" s="1827">
        <f t="shared" ref="AF56:AK56" si="52">IFERROR(AF9/AF55,0)</f>
        <v>0</v>
      </c>
      <c r="AG56" s="1827">
        <f t="shared" si="52"/>
        <v>0</v>
      </c>
      <c r="AH56" s="1827">
        <f t="shared" si="52"/>
        <v>0</v>
      </c>
      <c r="AI56" s="1827">
        <f t="shared" si="52"/>
        <v>0</v>
      </c>
      <c r="AJ56" s="1826">
        <f t="shared" si="52"/>
        <v>0</v>
      </c>
      <c r="AK56" s="1826">
        <f t="shared" si="52"/>
        <v>0</v>
      </c>
    </row>
    <row r="57" spans="1:38" customFormat="1" x14ac:dyDescent="0.3">
      <c r="A57" s="1813">
        <f t="shared" ca="1" si="2"/>
        <v>40</v>
      </c>
      <c r="B57" s="1822" t="str">
        <f t="shared" ca="1" si="3"/>
        <v>40-Mean operating height</v>
      </c>
      <c r="C57" s="1717"/>
      <c r="D57" s="1806" t="s">
        <v>1576</v>
      </c>
      <c r="E57" s="1806" t="s">
        <v>175</v>
      </c>
      <c r="F57" s="1723">
        <v>319.23844860494063</v>
      </c>
      <c r="G57" s="1723">
        <v>405.12924830993558</v>
      </c>
      <c r="H57" s="1723">
        <v>374.44540588307581</v>
      </c>
      <c r="I57" s="1723">
        <v>474.12194317918835</v>
      </c>
      <c r="J57" s="1723">
        <v>286.3143275012431</v>
      </c>
      <c r="K57" s="1723">
        <v>370.71315831970276</v>
      </c>
      <c r="L57" s="1747">
        <f>F57</f>
        <v>319.23844860494063</v>
      </c>
      <c r="M57" s="1747">
        <f>G57</f>
        <v>405.12924830993558</v>
      </c>
      <c r="N57" s="1724">
        <v>120</v>
      </c>
      <c r="O57" s="1724">
        <v>130</v>
      </c>
      <c r="P57" s="1801">
        <v>1</v>
      </c>
      <c r="Q57" s="1801">
        <v>1</v>
      </c>
      <c r="R57" s="1717"/>
      <c r="S57" s="1782">
        <f ca="1">(Performance!C21-(Performance!C22/2))*SIN(Scenarios!D75)</f>
        <v>284.60282100867636</v>
      </c>
      <c r="T57" s="1728" t="s">
        <v>1630</v>
      </c>
      <c r="U57" s="1717" t="s">
        <v>1550</v>
      </c>
      <c r="V57" s="1717"/>
      <c r="X57" s="25"/>
      <c r="Z57" s="25"/>
      <c r="AB57" s="25"/>
      <c r="AE57" s="1724">
        <v>100</v>
      </c>
      <c r="AF57" s="1735"/>
      <c r="AG57" s="1735"/>
      <c r="AH57" s="1735"/>
      <c r="AI57" s="1735"/>
      <c r="AJ57" s="1735"/>
      <c r="AK57" s="1732"/>
    </row>
    <row r="58" spans="1:38" customFormat="1" x14ac:dyDescent="0.3">
      <c r="A58" s="1813">
        <f t="shared" ca="1" si="2"/>
        <v>41</v>
      </c>
      <c r="B58" s="1822" t="str">
        <f t="shared" ca="1" si="3"/>
        <v>41-Tower diameter</v>
      </c>
      <c r="C58" s="1717"/>
      <c r="D58" s="1806" t="s">
        <v>1577</v>
      </c>
      <c r="E58" s="1806" t="s">
        <v>175</v>
      </c>
      <c r="F58" s="1722" t="s">
        <v>893</v>
      </c>
      <c r="G58" s="1722" t="s">
        <v>893</v>
      </c>
      <c r="H58" s="1722" t="s">
        <v>893</v>
      </c>
      <c r="I58" s="1722" t="s">
        <v>893</v>
      </c>
      <c r="J58" s="1722" t="s">
        <v>893</v>
      </c>
      <c r="K58" s="1722" t="s">
        <v>893</v>
      </c>
      <c r="L58" s="1722" t="s">
        <v>893</v>
      </c>
      <c r="M58" s="1722" t="s">
        <v>893</v>
      </c>
      <c r="N58" s="1802">
        <f>14/262*N20</f>
        <v>2.9229007633587787</v>
      </c>
      <c r="O58" s="1802">
        <f>14/262*O20</f>
        <v>4.2748091603053435</v>
      </c>
      <c r="P58" s="1722" t="s">
        <v>893</v>
      </c>
      <c r="Q58" s="1722" t="s">
        <v>893</v>
      </c>
      <c r="R58" s="1717"/>
      <c r="S58" s="1798" t="s">
        <v>893</v>
      </c>
      <c r="T58" s="1731" t="s">
        <v>893</v>
      </c>
      <c r="U58" t="s">
        <v>893</v>
      </c>
      <c r="V58" s="1717"/>
      <c r="X58" s="25"/>
      <c r="Z58" s="25"/>
      <c r="AB58" s="25"/>
      <c r="AE58" s="1802">
        <f>14/262*AE20</f>
        <v>2.6717557251908395</v>
      </c>
      <c r="AF58" s="1735"/>
      <c r="AG58" s="1735"/>
      <c r="AH58" s="1735"/>
      <c r="AI58" s="1735"/>
      <c r="AJ58" s="1735"/>
      <c r="AK58" s="1732"/>
    </row>
    <row r="59" spans="1:38" customFormat="1" x14ac:dyDescent="0.3">
      <c r="A59" s="1813">
        <f t="shared" ca="1" si="2"/>
        <v>42</v>
      </c>
      <c r="B59" s="1822" t="str">
        <f t="shared" ca="1" si="3"/>
        <v>42-Specific area</v>
      </c>
      <c r="C59" s="1717"/>
      <c r="D59" s="1806" t="s">
        <v>1570</v>
      </c>
      <c r="E59" s="1806" t="s">
        <v>1569</v>
      </c>
      <c r="F59" s="1736">
        <f t="shared" ref="F59:Q59" si="53">F23/(F8/1000000)</f>
        <v>80</v>
      </c>
      <c r="G59" s="1736">
        <f t="shared" si="53"/>
        <v>80</v>
      </c>
      <c r="H59" s="1736">
        <f t="shared" si="53"/>
        <v>66.666666666666671</v>
      </c>
      <c r="I59" s="1736">
        <f t="shared" si="53"/>
        <v>60</v>
      </c>
      <c r="J59" s="1736">
        <f t="shared" si="53"/>
        <v>50</v>
      </c>
      <c r="K59" s="1736">
        <f t="shared" si="53"/>
        <v>37.5</v>
      </c>
      <c r="L59" s="1736">
        <f t="shared" si="53"/>
        <v>900</v>
      </c>
      <c r="M59" s="1736">
        <f t="shared" si="53"/>
        <v>900</v>
      </c>
      <c r="N59" s="1736">
        <f t="shared" si="53"/>
        <v>61.948033126293993</v>
      </c>
      <c r="O59" s="1736">
        <f t="shared" si="53"/>
        <v>57.142857142857139</v>
      </c>
      <c r="P59" s="1736">
        <f t="shared" si="53"/>
        <v>0.66</v>
      </c>
      <c r="Q59" s="1736">
        <f t="shared" si="53"/>
        <v>0.66</v>
      </c>
      <c r="R59" s="1717"/>
      <c r="S59" s="1782">
        <f ca="1">S23/(S8/1000000)</f>
        <v>80</v>
      </c>
      <c r="T59" s="1731" t="s">
        <v>893</v>
      </c>
      <c r="U59" t="s">
        <v>893</v>
      </c>
      <c r="V59" s="1717"/>
      <c r="X59" s="25"/>
      <c r="Z59" s="25"/>
      <c r="AB59" s="25"/>
      <c r="AE59" s="1736">
        <f>AE23/(AE8/1000000)</f>
        <v>89.285714285714278</v>
      </c>
      <c r="AF59" s="1732"/>
      <c r="AG59" s="1732"/>
      <c r="AH59" s="1732"/>
      <c r="AI59" s="1732"/>
      <c r="AJ59" s="1732"/>
      <c r="AK59" s="1732"/>
    </row>
    <row r="60" spans="1:38" customFormat="1" x14ac:dyDescent="0.3">
      <c r="A60" s="1813">
        <f t="shared" ca="1" si="2"/>
        <v>43</v>
      </c>
      <c r="B60" s="1822" t="str">
        <f t="shared" ca="1" si="3"/>
        <v>43-CO2 emissions</v>
      </c>
      <c r="C60" s="1717"/>
      <c r="D60" s="1806" t="s">
        <v>827</v>
      </c>
      <c r="E60" s="1806" t="s">
        <v>1592</v>
      </c>
      <c r="F60" s="1732" t="s">
        <v>1540</v>
      </c>
      <c r="G60" s="1803">
        <f>4.94*2</f>
        <v>9.8800000000000008</v>
      </c>
      <c r="H60" s="1803">
        <v>4.9400000000000004</v>
      </c>
      <c r="I60" s="1803">
        <f>H60*2</f>
        <v>9.8800000000000008</v>
      </c>
      <c r="J60" s="1803">
        <f>4.94*75%</f>
        <v>3.7050000000000001</v>
      </c>
      <c r="K60" s="1803">
        <f>J60*2</f>
        <v>7.41</v>
      </c>
      <c r="L60" s="1732" t="s">
        <v>1540</v>
      </c>
      <c r="M60" s="1732" t="s">
        <v>1540</v>
      </c>
      <c r="N60" s="1724">
        <f>5*1.5</f>
        <v>7.5</v>
      </c>
      <c r="O60" s="1724">
        <f>9*1.5</f>
        <v>13.5</v>
      </c>
      <c r="P60" s="1724">
        <f>50*1500/P9</f>
        <v>83.333333333333329</v>
      </c>
      <c r="Q60" s="1724">
        <f>50*1500/Q9</f>
        <v>50</v>
      </c>
      <c r="R60" s="1717"/>
      <c r="S60" s="1798" t="s">
        <v>893</v>
      </c>
      <c r="T60" s="1731" t="s">
        <v>893</v>
      </c>
      <c r="U60" s="25" t="s">
        <v>1602</v>
      </c>
      <c r="V60" s="1717"/>
      <c r="X60" s="25"/>
      <c r="Z60" s="1773" t="s">
        <v>1609</v>
      </c>
      <c r="AB60" s="25"/>
      <c r="AE60" s="1804">
        <v>9.8699999999999992</v>
      </c>
      <c r="AF60" s="1724">
        <v>800</v>
      </c>
      <c r="AG60" s="1724">
        <v>550</v>
      </c>
      <c r="AH60" s="1724">
        <v>500</v>
      </c>
      <c r="AI60" s="1724">
        <v>20</v>
      </c>
      <c r="AJ60" s="1724">
        <v>25</v>
      </c>
      <c r="AK60" s="1724">
        <f>19+88</f>
        <v>107</v>
      </c>
    </row>
    <row r="61" spans="1:38" customFormat="1" ht="12.75" customHeight="1" x14ac:dyDescent="0.3">
      <c r="A61" s="1813">
        <f t="shared" ca="1" si="2"/>
        <v>44</v>
      </c>
      <c r="B61" s="1822" t="str">
        <f t="shared" ca="1" si="3"/>
        <v>44-Cumulative Energy Demand</v>
      </c>
      <c r="C61" s="1717"/>
      <c r="D61" s="1806" t="s">
        <v>1620</v>
      </c>
      <c r="E61" s="1806" t="s">
        <v>1621</v>
      </c>
      <c r="F61" s="1732" t="s">
        <v>1540</v>
      </c>
      <c r="G61" s="1805">
        <v>5.8999999999999997E-2</v>
      </c>
      <c r="H61" s="1805">
        <v>5.8999999999999997E-2</v>
      </c>
      <c r="I61" s="1805">
        <v>5.8999999999999997E-2</v>
      </c>
      <c r="J61" s="1805">
        <v>5.8999999999999997E-2</v>
      </c>
      <c r="K61" s="1805">
        <v>5.8999999999999997E-2</v>
      </c>
      <c r="L61" s="1732" t="s">
        <v>1540</v>
      </c>
      <c r="M61" s="1732" t="s">
        <v>1540</v>
      </c>
      <c r="N61" s="1805">
        <v>0.1</v>
      </c>
      <c r="O61" s="1805">
        <v>0.15</v>
      </c>
      <c r="P61" s="1805">
        <v>3.25</v>
      </c>
      <c r="Q61" s="1805">
        <v>3.25</v>
      </c>
      <c r="R61" s="1717"/>
      <c r="S61" s="1798" t="s">
        <v>893</v>
      </c>
      <c r="T61" s="1731" t="s">
        <v>893</v>
      </c>
      <c r="U61" s="25" t="s">
        <v>1602</v>
      </c>
      <c r="V61" s="1717"/>
      <c r="X61" s="25"/>
      <c r="Z61" s="1773" t="s">
        <v>1609</v>
      </c>
      <c r="AB61" s="25"/>
      <c r="AE61" s="1805">
        <v>0.11799999999999999</v>
      </c>
      <c r="AF61" s="1732"/>
      <c r="AG61" s="1732"/>
      <c r="AH61" s="1732"/>
      <c r="AI61" s="1732"/>
      <c r="AJ61" s="1732"/>
      <c r="AK61" s="1732"/>
    </row>
    <row r="62" spans="1:38" customFormat="1" x14ac:dyDescent="0.3">
      <c r="A62" s="1813">
        <f t="shared" ca="1" si="2"/>
        <v>45</v>
      </c>
      <c r="B62" s="1822" t="str">
        <f t="shared" ca="1" si="3"/>
        <v>45-LCoE</v>
      </c>
      <c r="C62" s="1717"/>
      <c r="D62" s="1806" t="s">
        <v>1516</v>
      </c>
      <c r="E62" s="1806" t="s">
        <v>439</v>
      </c>
      <c r="F62" s="1723">
        <v>255.52988667855035</v>
      </c>
      <c r="G62" s="1723">
        <v>66.5447298539071</v>
      </c>
      <c r="H62" s="1723">
        <v>30.797851590707936</v>
      </c>
      <c r="I62" s="1816">
        <v>55.433915865572942</v>
      </c>
      <c r="J62" s="1723">
        <v>16.465352608874309</v>
      </c>
      <c r="K62" s="1723">
        <v>21.350187207237266</v>
      </c>
      <c r="L62" s="1732" t="s">
        <v>1540</v>
      </c>
      <c r="M62" s="1732" t="s">
        <v>1540</v>
      </c>
      <c r="N62" s="1741">
        <v>55</v>
      </c>
      <c r="O62" s="1741">
        <v>120</v>
      </c>
      <c r="P62" s="1724">
        <v>75</v>
      </c>
      <c r="Q62" s="1724">
        <v>75</v>
      </c>
      <c r="R62" s="1717"/>
      <c r="S62" s="1768">
        <f ca="1">LCOE</f>
        <v>97.766902413760249</v>
      </c>
      <c r="T62" s="1728" t="s">
        <v>1530</v>
      </c>
      <c r="U62" t="s">
        <v>893</v>
      </c>
      <c r="V62" s="1717"/>
      <c r="X62" s="25"/>
      <c r="Z62" s="1773" t="s">
        <v>1605</v>
      </c>
      <c r="AB62" s="1773" t="s">
        <v>1612</v>
      </c>
      <c r="AE62" s="1741">
        <v>55</v>
      </c>
      <c r="AF62" s="1732"/>
      <c r="AG62" s="1732"/>
      <c r="AH62" s="1732"/>
      <c r="AI62" s="1732"/>
      <c r="AJ62" s="1732"/>
      <c r="AK62" s="1732"/>
    </row>
    <row r="63" spans="1:38" customFormat="1" x14ac:dyDescent="0.3">
      <c r="A63" s="1813">
        <f t="shared" ca="1" si="2"/>
        <v>46</v>
      </c>
      <c r="B63" s="1822" t="str">
        <f t="shared" ca="1" si="3"/>
        <v>46-Weighted LCoE (LCoE/Cf^0.8)</v>
      </c>
      <c r="C63" s="1717"/>
      <c r="D63" s="1806" t="s">
        <v>1517</v>
      </c>
      <c r="E63" s="1806" t="s">
        <v>439</v>
      </c>
      <c r="F63" s="1787">
        <f t="shared" ref="F63:Q63" si="54">F62/F11^0.8</f>
        <v>476.81228167019748</v>
      </c>
      <c r="G63" s="1787">
        <f t="shared" si="54"/>
        <v>105.10628088815271</v>
      </c>
      <c r="H63" s="1787">
        <f t="shared" si="54"/>
        <v>47.963711693826696</v>
      </c>
      <c r="I63" s="1782">
        <f t="shared" si="54"/>
        <v>83.668817681380006</v>
      </c>
      <c r="J63" s="1787">
        <f t="shared" si="54"/>
        <v>26.286304349373918</v>
      </c>
      <c r="K63" s="1787">
        <f t="shared" si="54"/>
        <v>33.455170254853279</v>
      </c>
      <c r="L63" s="1787" t="e">
        <f t="shared" si="54"/>
        <v>#VALUE!</v>
      </c>
      <c r="M63" s="1787" t="e">
        <f t="shared" si="54"/>
        <v>#VALUE!</v>
      </c>
      <c r="N63" s="1787">
        <f t="shared" si="54"/>
        <v>104.18199713824538</v>
      </c>
      <c r="O63" s="1787">
        <f t="shared" si="54"/>
        <v>193.59364393447115</v>
      </c>
      <c r="P63" s="1787">
        <f t="shared" si="54"/>
        <v>463.09547856120184</v>
      </c>
      <c r="Q63" s="1787">
        <f t="shared" si="54"/>
        <v>307.74537945890842</v>
      </c>
      <c r="R63" s="1717"/>
      <c r="S63" s="1782">
        <f ca="1">S62/S11^0.8</f>
        <v>202.59619150490249</v>
      </c>
      <c r="T63" s="1731" t="s">
        <v>893</v>
      </c>
      <c r="U63" t="s">
        <v>893</v>
      </c>
      <c r="V63" s="1717"/>
      <c r="X63" s="25"/>
      <c r="Z63" s="25"/>
      <c r="AB63" s="25"/>
      <c r="AE63" s="1787">
        <f>AE62/AE11^0.8</f>
        <v>144.10056569271421</v>
      </c>
      <c r="AF63" s="1732"/>
      <c r="AG63" s="1732"/>
      <c r="AH63" s="1732"/>
      <c r="AI63" s="1732"/>
      <c r="AJ63" s="1732"/>
      <c r="AK63" s="1732"/>
    </row>
    <row r="64" spans="1:38" customFormat="1" x14ac:dyDescent="0.3">
      <c r="A64" s="1812"/>
      <c r="B64" s="1812"/>
      <c r="D64" s="25"/>
      <c r="E64" s="25"/>
      <c r="V64" s="1717"/>
    </row>
    <row r="65" spans="1:22" customFormat="1" x14ac:dyDescent="0.3">
      <c r="A65" s="1812"/>
      <c r="B65" s="1812"/>
      <c r="D65" s="25"/>
      <c r="E65" s="25"/>
      <c r="V65" s="1717"/>
    </row>
    <row r="66" spans="1:22" customFormat="1" x14ac:dyDescent="0.3">
      <c r="A66" s="1812"/>
      <c r="B66" s="1812"/>
      <c r="D66" s="25"/>
      <c r="E66" s="25"/>
      <c r="V66" s="1717"/>
    </row>
    <row r="67" spans="1:22" customFormat="1" x14ac:dyDescent="0.3">
      <c r="A67" s="1812"/>
      <c r="B67" s="1812"/>
      <c r="D67" s="25"/>
      <c r="E67" s="25"/>
      <c r="V67" s="1717"/>
    </row>
    <row r="68" spans="1:22" customFormat="1" x14ac:dyDescent="0.3">
      <c r="A68" s="1812"/>
      <c r="B68" s="1812"/>
      <c r="D68" s="25"/>
      <c r="E68" s="25"/>
      <c r="V68" s="1717"/>
    </row>
    <row r="69" spans="1:22" customFormat="1" x14ac:dyDescent="0.3">
      <c r="A69" s="1812"/>
      <c r="B69" s="1812"/>
      <c r="D69" s="25"/>
      <c r="E69" s="25"/>
      <c r="V69" s="1717"/>
    </row>
    <row r="70" spans="1:22" customFormat="1" x14ac:dyDescent="0.3">
      <c r="A70" s="1812"/>
      <c r="B70" s="1812"/>
      <c r="D70" s="25"/>
      <c r="E70" s="25"/>
      <c r="V70" s="1717"/>
    </row>
    <row r="71" spans="1:22" customFormat="1" x14ac:dyDescent="0.3">
      <c r="A71" s="1812"/>
      <c r="B71" s="1812"/>
      <c r="D71" s="25"/>
      <c r="E71" s="25"/>
      <c r="V71" s="1717"/>
    </row>
    <row r="72" spans="1:22" customFormat="1" x14ac:dyDescent="0.3">
      <c r="A72" s="1812"/>
      <c r="B72" s="1812"/>
      <c r="D72" s="25"/>
      <c r="E72" s="25"/>
      <c r="V72" s="1717"/>
    </row>
    <row r="73" spans="1:22" customFormat="1" x14ac:dyDescent="0.3">
      <c r="A73" s="1812"/>
      <c r="B73" s="1812"/>
      <c r="D73" s="25"/>
      <c r="E73" s="25"/>
      <c r="V73" s="1717"/>
    </row>
    <row r="74" spans="1:22" customFormat="1" x14ac:dyDescent="0.3">
      <c r="A74" s="1812"/>
      <c r="B74" s="1812"/>
      <c r="D74" s="25"/>
      <c r="E74" s="25"/>
      <c r="V74" s="1717"/>
    </row>
    <row r="75" spans="1:22" customFormat="1" x14ac:dyDescent="0.3">
      <c r="A75" s="1812"/>
      <c r="B75" s="1812"/>
      <c r="D75" s="25"/>
      <c r="E75" s="25"/>
      <c r="V75" s="1717"/>
    </row>
    <row r="76" spans="1:22" customFormat="1" x14ac:dyDescent="0.3">
      <c r="A76" s="1812"/>
      <c r="B76" s="1812"/>
      <c r="D76" s="25"/>
      <c r="E76" s="25"/>
      <c r="V76" s="1717"/>
    </row>
    <row r="77" spans="1:22" customFormat="1" x14ac:dyDescent="0.3">
      <c r="A77" s="1812"/>
      <c r="B77" s="1812"/>
      <c r="D77" s="25"/>
      <c r="E77" s="25"/>
      <c r="V77" s="1717"/>
    </row>
    <row r="78" spans="1:22" customFormat="1" x14ac:dyDescent="0.3">
      <c r="A78" s="1812"/>
      <c r="B78" s="1812"/>
      <c r="D78" s="25"/>
      <c r="E78" s="25"/>
      <c r="V78" s="1717"/>
    </row>
    <row r="79" spans="1:22" customFormat="1" x14ac:dyDescent="0.3">
      <c r="A79" s="1812"/>
      <c r="B79" s="1812"/>
      <c r="D79" s="25"/>
      <c r="E79" s="25"/>
      <c r="V79" s="1717"/>
    </row>
    <row r="80" spans="1:22" customFormat="1" x14ac:dyDescent="0.3">
      <c r="A80" s="1812"/>
      <c r="B80" s="1812"/>
      <c r="D80" s="25"/>
      <c r="E80" s="25"/>
      <c r="V80" s="1717"/>
    </row>
    <row r="81" spans="1:22" customFormat="1" x14ac:dyDescent="0.3">
      <c r="A81" s="1812"/>
      <c r="B81" s="1812"/>
      <c r="D81" s="25"/>
      <c r="E81" s="25"/>
      <c r="V81" s="1717"/>
    </row>
    <row r="82" spans="1:22" customFormat="1" x14ac:dyDescent="0.3">
      <c r="A82" s="1812"/>
      <c r="B82" s="1812"/>
      <c r="D82" s="25"/>
      <c r="E82" s="25"/>
      <c r="V82" s="1717"/>
    </row>
    <row r="83" spans="1:22" customFormat="1" x14ac:dyDescent="0.3">
      <c r="A83" s="1812"/>
      <c r="B83" s="1812"/>
      <c r="D83" s="25"/>
      <c r="E83" s="25"/>
      <c r="V83" s="1717"/>
    </row>
    <row r="84" spans="1:22" customFormat="1" x14ac:dyDescent="0.3">
      <c r="A84" s="1812"/>
      <c r="B84" s="1812"/>
      <c r="D84" s="25"/>
      <c r="E84" s="25"/>
      <c r="V84" s="1717"/>
    </row>
    <row r="85" spans="1:22" customFormat="1" x14ac:dyDescent="0.3">
      <c r="A85" s="1812"/>
      <c r="B85" s="1812"/>
      <c r="D85" s="25"/>
      <c r="E85" s="25"/>
      <c r="V85" s="1717"/>
    </row>
  </sheetData>
  <hyperlinks>
    <hyperlink ref="Z60" r:id="rId1" xr:uid="{57579FE6-C40F-4FC7-B748-4C6A83844523}"/>
    <hyperlink ref="Z61" r:id="rId2" xr:uid="{C163C74C-3300-49EE-89C3-18C77E5A0E56}"/>
    <hyperlink ref="Z62" r:id="rId3" xr:uid="{19D7B370-A48E-4E63-92D3-705FCF61E597}"/>
    <hyperlink ref="AB62" r:id="rId4" xr:uid="{8F397FE6-DADB-4785-9C80-9F5BAE6D6288}"/>
    <hyperlink ref="Z11" r:id="rId5" xr:uid="{C65A010D-9402-4F14-941F-A3AC48142F3A}"/>
  </hyperlinks>
  <pageMargins left="0.7" right="0.7" top="0.75" bottom="0.75" header="0.3" footer="0.3"/>
  <drawing r:id="rId6"/>
  <legacyDrawing r:id="rId7"/>
  <mc:AlternateContent xmlns:mc="http://schemas.openxmlformats.org/markup-compatibility/2006">
    <mc:Choice Requires="x14">
      <controls>
        <mc:AlternateContent xmlns:mc="http://schemas.openxmlformats.org/markup-compatibility/2006">
          <mc:Choice Requires="x14">
            <control shapeId="181249" r:id="rId8" name="Drop Down 1">
              <controlPr defaultSize="0" autoLine="0" autoPict="0">
                <anchor moveWithCells="1">
                  <from>
                    <xdr:col>3</xdr:col>
                    <xdr:colOff>28575</xdr:colOff>
                    <xdr:row>3</xdr:row>
                    <xdr:rowOff>47625</xdr:rowOff>
                  </from>
                  <to>
                    <xdr:col>3</xdr:col>
                    <xdr:colOff>1952625</xdr:colOff>
                    <xdr:row>3</xdr:row>
                    <xdr:rowOff>247650</xdr:rowOff>
                  </to>
                </anchor>
              </controlPr>
            </control>
          </mc:Choice>
        </mc:AlternateContent>
        <mc:AlternateContent xmlns:mc="http://schemas.openxmlformats.org/markup-compatibility/2006">
          <mc:Choice Requires="x14">
            <control shapeId="181293" r:id="rId9" name="Check Box 45">
              <controlPr defaultSize="0" autoFill="0" autoLine="0" autoPict="0">
                <anchor moveWithCells="1">
                  <from>
                    <xdr:col>3</xdr:col>
                    <xdr:colOff>2019300</xdr:colOff>
                    <xdr:row>2</xdr:row>
                    <xdr:rowOff>95250</xdr:rowOff>
                  </from>
                  <to>
                    <xdr:col>5</xdr:col>
                    <xdr:colOff>95250</xdr:colOff>
                    <xdr:row>3</xdr:row>
                    <xdr:rowOff>19050</xdr:rowOff>
                  </to>
                </anchor>
              </controlPr>
            </control>
          </mc:Choice>
        </mc:AlternateContent>
        <mc:AlternateContent xmlns:mc="http://schemas.openxmlformats.org/markup-compatibility/2006">
          <mc:Choice Requires="x14">
            <control shapeId="181294" r:id="rId10" name="Check Box 46">
              <controlPr defaultSize="0" autoFill="0" autoLine="0" autoPict="0">
                <anchor moveWithCells="1">
                  <from>
                    <xdr:col>3</xdr:col>
                    <xdr:colOff>1352550</xdr:colOff>
                    <xdr:row>2</xdr:row>
                    <xdr:rowOff>57150</xdr:rowOff>
                  </from>
                  <to>
                    <xdr:col>4</xdr:col>
                    <xdr:colOff>9525</xdr:colOff>
                    <xdr:row>2</xdr:row>
                    <xdr:rowOff>276225</xdr:rowOff>
                  </to>
                </anchor>
              </controlPr>
            </control>
          </mc:Choice>
        </mc:AlternateContent>
        <mc:AlternateContent xmlns:mc="http://schemas.openxmlformats.org/markup-compatibility/2006">
          <mc:Choice Requires="x14">
            <control shapeId="181296" r:id="rId11" name="Drop Down 48">
              <controlPr defaultSize="0" autoLine="0" autoPict="0">
                <anchor>
                  <from>
                    <xdr:col>18</xdr:col>
                    <xdr:colOff>57150</xdr:colOff>
                    <xdr:row>0</xdr:row>
                    <xdr:rowOff>95250</xdr:rowOff>
                  </from>
                  <to>
                    <xdr:col>19</xdr:col>
                    <xdr:colOff>1447800</xdr:colOff>
                    <xdr:row>1</xdr:row>
                    <xdr:rowOff>28575</xdr:rowOff>
                  </to>
                </anchor>
              </controlPr>
            </control>
          </mc:Choice>
        </mc:AlternateContent>
        <mc:AlternateContent xmlns:mc="http://schemas.openxmlformats.org/markup-compatibility/2006">
          <mc:Choice Requires="x14">
            <control shapeId="181297" r:id="rId12" name="Drop Down 49">
              <controlPr defaultSize="0" autoLine="0" autoPict="0">
                <anchor>
                  <from>
                    <xdr:col>18</xdr:col>
                    <xdr:colOff>38100</xdr:colOff>
                    <xdr:row>1</xdr:row>
                    <xdr:rowOff>104775</xdr:rowOff>
                  </from>
                  <to>
                    <xdr:col>18</xdr:col>
                    <xdr:colOff>647700</xdr:colOff>
                    <xdr:row>2</xdr:row>
                    <xdr:rowOff>95250</xdr:rowOff>
                  </to>
                </anchor>
              </controlPr>
            </control>
          </mc:Choice>
        </mc:AlternateContent>
        <mc:AlternateContent xmlns:mc="http://schemas.openxmlformats.org/markup-compatibility/2006">
          <mc:Choice Requires="x14">
            <control shapeId="181368" r:id="rId13" name="Drop Down 120">
              <controlPr defaultSize="0" autoLine="0" autoPict="0">
                <anchor>
                  <from>
                    <xdr:col>18</xdr:col>
                    <xdr:colOff>781050</xdr:colOff>
                    <xdr:row>1</xdr:row>
                    <xdr:rowOff>95250</xdr:rowOff>
                  </from>
                  <to>
                    <xdr:col>19</xdr:col>
                    <xdr:colOff>361950</xdr:colOff>
                    <xdr:row>2</xdr:row>
                    <xdr:rowOff>95250</xdr:rowOff>
                  </to>
                </anchor>
              </controlPr>
            </control>
          </mc:Choice>
        </mc:AlternateContent>
        <mc:AlternateContent xmlns:mc="http://schemas.openxmlformats.org/markup-compatibility/2006">
          <mc:Choice Requires="x14">
            <control shapeId="181423" r:id="rId14" name="Drop Down 175">
              <controlPr defaultSize="0" autoLine="0" autoPict="0">
                <anchor>
                  <from>
                    <xdr:col>3</xdr:col>
                    <xdr:colOff>304800</xdr:colOff>
                    <xdr:row>1</xdr:row>
                    <xdr:rowOff>28575</xdr:rowOff>
                  </from>
                  <to>
                    <xdr:col>4</xdr:col>
                    <xdr:colOff>723900</xdr:colOff>
                    <xdr:row>2</xdr:row>
                    <xdr:rowOff>28575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zoomScale="55" zoomScaleNormal="55" workbookViewId="0">
      <selection activeCell="V34" sqref="V34"/>
    </sheetView>
  </sheetViews>
  <sheetFormatPr defaultColWidth="8.875" defaultRowHeight="15" x14ac:dyDescent="0.3"/>
  <cols>
    <col min="1" max="16384" width="8.875" style="1912"/>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82274" r:id="rId3" name="Drop Down 2">
              <controlPr defaultSize="0" autoLine="0" autoPict="0">
                <anchor moveWithCells="1">
                  <from>
                    <xdr:col>2</xdr:col>
                    <xdr:colOff>600075</xdr:colOff>
                    <xdr:row>0</xdr:row>
                    <xdr:rowOff>9525</xdr:rowOff>
                  </from>
                  <to>
                    <xdr:col>6</xdr:col>
                    <xdr:colOff>85725</xdr:colOff>
                    <xdr:row>1</xdr:row>
                    <xdr:rowOff>38100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45"/>
  <sheetViews>
    <sheetView zoomScale="90" zoomScaleNormal="90" workbookViewId="0">
      <pane ySplit="6" topLeftCell="A7" activePane="bottomLeft" state="frozen"/>
      <selection pane="bottomLeft" activeCell="H43" sqref="H43"/>
    </sheetView>
  </sheetViews>
  <sheetFormatPr defaultRowHeight="15" x14ac:dyDescent="0.3"/>
  <cols>
    <col min="1" max="1" width="14.375" customWidth="1"/>
    <col min="2" max="2" width="16" customWidth="1"/>
    <col min="3" max="3" width="6.625" customWidth="1"/>
    <col min="4" max="4" width="15.375" style="99" customWidth="1"/>
    <col min="5" max="5" width="11.125" customWidth="1"/>
    <col min="6" max="6" width="13.125" customWidth="1"/>
  </cols>
  <sheetData>
    <row r="1" spans="1:30" ht="21" x14ac:dyDescent="0.3">
      <c r="A1" s="1321" t="s">
        <v>1030</v>
      </c>
    </row>
    <row r="2" spans="1:30" ht="15.75" thickBot="1" x14ac:dyDescent="0.35">
      <c r="A2" s="1492" t="s">
        <v>1055</v>
      </c>
      <c r="I2" s="1418" t="s">
        <v>988</v>
      </c>
      <c r="J2" s="639"/>
      <c r="K2" s="639"/>
      <c r="L2" s="639"/>
      <c r="M2" s="639"/>
      <c r="N2" s="512"/>
      <c r="O2" s="1417" t="s">
        <v>1034</v>
      </c>
    </row>
    <row r="3" spans="1:30" s="16" customFormat="1" x14ac:dyDescent="0.3">
      <c r="A3" s="1473" t="s">
        <v>296</v>
      </c>
      <c r="B3" s="1474">
        <f>scenario_size</f>
        <v>0</v>
      </c>
      <c r="C3" s="1475" t="s">
        <v>603</v>
      </c>
      <c r="D3" s="1483">
        <f>park_size</f>
        <v>0</v>
      </c>
      <c r="E3" s="1476" t="s">
        <v>738</v>
      </c>
      <c r="F3" s="1484">
        <f>Ampyx_WACC_selected</f>
        <v>0</v>
      </c>
      <c r="G3" s="1476" t="s">
        <v>1035</v>
      </c>
      <c r="H3" s="1485">
        <f>Horizon_selected</f>
        <v>0</v>
      </c>
      <c r="I3" s="1370" t="s">
        <v>75</v>
      </c>
      <c r="J3" s="1373">
        <f ca="1">Performance!C4</f>
        <v>150</v>
      </c>
      <c r="K3" s="1369" t="s">
        <v>501</v>
      </c>
      <c r="L3" s="1375">
        <f ca="1">N</f>
        <v>30</v>
      </c>
      <c r="M3" s="1365" t="s">
        <v>292</v>
      </c>
      <c r="N3" s="1352">
        <f ca="1">horizon</f>
        <v>25</v>
      </c>
      <c r="O3" s="1399" t="s">
        <v>1046</v>
      </c>
      <c r="P3" s="1392"/>
      <c r="Q3" s="1392"/>
      <c r="R3" s="1392"/>
      <c r="S3" s="1392"/>
      <c r="T3" s="1392"/>
      <c r="U3" s="1392"/>
      <c r="V3" s="1392"/>
      <c r="W3" s="1392"/>
      <c r="X3" s="1392"/>
      <c r="Y3" s="1392"/>
      <c r="Z3" s="1392"/>
      <c r="AA3" s="1392"/>
      <c r="AB3" s="1392"/>
      <c r="AC3" s="1392"/>
      <c r="AD3" s="1393"/>
    </row>
    <row r="4" spans="1:30" s="16" customFormat="1" x14ac:dyDescent="0.3">
      <c r="A4" s="1477" t="s">
        <v>713</v>
      </c>
      <c r="B4" s="1486">
        <f>avg_wind_speed</f>
        <v>0</v>
      </c>
      <c r="C4" s="1478" t="s">
        <v>630</v>
      </c>
      <c r="D4" s="1487">
        <f>P_level</f>
        <v>0</v>
      </c>
      <c r="E4" s="1479" t="s">
        <v>737</v>
      </c>
      <c r="F4" s="1487">
        <f>Project_WACC_selected</f>
        <v>0</v>
      </c>
      <c r="G4" s="1479" t="s">
        <v>1031</v>
      </c>
      <c r="H4" s="1516">
        <f>IF(greenfield,1,0)</f>
        <v>1</v>
      </c>
      <c r="I4" s="1367" t="s">
        <v>904</v>
      </c>
      <c r="J4" s="1149">
        <f ca="1">Performance!C3</f>
        <v>12</v>
      </c>
      <c r="K4" s="1347" t="s">
        <v>905</v>
      </c>
      <c r="L4" s="1376">
        <f ca="1">Performance!$C$8</f>
        <v>15.539326163190678</v>
      </c>
      <c r="M4" s="1362" t="s">
        <v>1051</v>
      </c>
      <c r="N4" s="1379">
        <f ca="1">LCOE</f>
        <v>97.766902413760249</v>
      </c>
      <c r="O4" s="1394"/>
      <c r="AD4" s="1395"/>
    </row>
    <row r="5" spans="1:30" s="16" customFormat="1" x14ac:dyDescent="0.3">
      <c r="A5" s="1477" t="s">
        <v>481</v>
      </c>
      <c r="B5" s="1488">
        <f>quantity</f>
        <v>0</v>
      </c>
      <c r="C5" s="1478" t="s">
        <v>629</v>
      </c>
      <c r="D5" s="1487">
        <f>Tp_level</f>
        <v>0</v>
      </c>
      <c r="E5" s="1479" t="s">
        <v>742</v>
      </c>
      <c r="F5" s="1487">
        <f>AWES_margin_selected</f>
        <v>0</v>
      </c>
      <c r="G5" s="1479" t="s">
        <v>1032</v>
      </c>
      <c r="H5" s="1516">
        <f>IF(offshore,1,0)</f>
        <v>0</v>
      </c>
      <c r="I5" s="1366" t="s">
        <v>65</v>
      </c>
      <c r="J5" s="1374">
        <f ca="1">Tmax_p</f>
        <v>42.000000000000007</v>
      </c>
      <c r="K5" s="1361" t="s">
        <v>910</v>
      </c>
      <c r="L5" s="1377">
        <f ca="1">Scenarios!D22</f>
        <v>12.5</v>
      </c>
      <c r="M5" s="1362" t="s">
        <v>1052</v>
      </c>
      <c r="N5" s="1363">
        <f ca="1">'LCOE analysis'!D19</f>
        <v>0.40220801713922949</v>
      </c>
      <c r="O5" s="1394"/>
      <c r="AD5" s="1395"/>
    </row>
    <row r="6" spans="1:30" s="16" customFormat="1" ht="15.75" thickBot="1" x14ac:dyDescent="0.35">
      <c r="A6" s="1480" t="s">
        <v>625</v>
      </c>
      <c r="B6" s="1489">
        <f>AWES_power</f>
        <v>0</v>
      </c>
      <c r="C6" s="1481" t="s">
        <v>635</v>
      </c>
      <c r="D6" s="1490">
        <f>Tt_level</f>
        <v>0</v>
      </c>
      <c r="E6" s="1482" t="s">
        <v>741</v>
      </c>
      <c r="F6" s="1490">
        <f>SP_margin_selected</f>
        <v>0</v>
      </c>
      <c r="G6" s="1482" t="s">
        <v>1033</v>
      </c>
      <c r="H6" s="1517">
        <f>IF(offshore_floating,1,0)</f>
        <v>0</v>
      </c>
      <c r="I6" s="1371" t="s">
        <v>1053</v>
      </c>
      <c r="J6" s="1372">
        <f ca="1">avg_speed</f>
        <v>10.563903252812876</v>
      </c>
      <c r="K6" s="1348" t="s">
        <v>984</v>
      </c>
      <c r="L6" s="1378">
        <f ca="1">Scenarios!D24</f>
        <v>0.28000000000000003</v>
      </c>
      <c r="M6" s="1364" t="s">
        <v>621</v>
      </c>
      <c r="N6" s="1380">
        <f ca="1">'LCOE analysis'!D18</f>
        <v>15.865899652091185</v>
      </c>
      <c r="O6" s="1396"/>
      <c r="P6" s="1397"/>
      <c r="Q6" s="1397"/>
      <c r="R6" s="1397"/>
      <c r="S6" s="1397"/>
      <c r="T6" s="1397"/>
      <c r="U6" s="1397"/>
      <c r="V6" s="1397"/>
      <c r="W6" s="1397"/>
      <c r="X6" s="1397"/>
      <c r="Y6" s="1397"/>
      <c r="Z6" s="1397"/>
      <c r="AA6" s="1397"/>
      <c r="AB6" s="1397"/>
      <c r="AC6" s="1397"/>
      <c r="AD6" s="1398"/>
    </row>
    <row r="8" spans="1:30" ht="15.75" thickBot="1" x14ac:dyDescent="0.35"/>
    <row r="9" spans="1:30" ht="15.75" thickBot="1" x14ac:dyDescent="0.35">
      <c r="B9" s="1342" t="s">
        <v>767</v>
      </c>
      <c r="C9" s="1344" t="s">
        <v>1042</v>
      </c>
      <c r="D9" s="1343"/>
    </row>
    <row r="10" spans="1:30" ht="16.5" x14ac:dyDescent="0.3">
      <c r="B10" s="1493" t="s">
        <v>287</v>
      </c>
      <c r="C10" s="1494">
        <f>IF(D10=0,1,-1)</f>
        <v>1</v>
      </c>
      <c r="D10" s="1503">
        <f>Solver_wingarea</f>
        <v>0</v>
      </c>
    </row>
    <row r="11" spans="1:30" ht="16.5" x14ac:dyDescent="0.3">
      <c r="B11" s="1493" t="s">
        <v>286</v>
      </c>
      <c r="C11" s="1494">
        <f>IF(D11=0,1,-1)</f>
        <v>1</v>
      </c>
      <c r="D11" s="1503">
        <f>Solver_P</f>
        <v>0</v>
      </c>
    </row>
    <row r="12" spans="1:30" ht="17.25" thickBot="1" x14ac:dyDescent="0.35">
      <c r="B12" s="1495" t="s">
        <v>971</v>
      </c>
      <c r="C12" s="1496">
        <f>IF(D12=0,1,-1)</f>
        <v>1</v>
      </c>
      <c r="D12" s="1504">
        <f>Solver_Tmax</f>
        <v>0</v>
      </c>
    </row>
    <row r="13" spans="1:30" ht="15.75" thickBot="1" x14ac:dyDescent="0.35"/>
    <row r="14" spans="1:30" ht="15.75" thickBot="1" x14ac:dyDescent="0.35">
      <c r="B14" s="1342" t="s">
        <v>470</v>
      </c>
      <c r="C14" s="1344" t="s">
        <v>1042</v>
      </c>
      <c r="D14" s="1343"/>
    </row>
    <row r="15" spans="1:30" x14ac:dyDescent="0.3">
      <c r="B15" s="1497"/>
      <c r="C15" s="1498"/>
      <c r="D15" s="1505"/>
    </row>
    <row r="16" spans="1:30" x14ac:dyDescent="0.3">
      <c r="B16" s="1497"/>
      <c r="C16" s="1498"/>
      <c r="D16" s="1505"/>
    </row>
    <row r="17" spans="2:4" ht="15.75" thickBot="1" x14ac:dyDescent="0.35">
      <c r="B17" s="1499"/>
      <c r="C17" s="1500"/>
      <c r="D17" s="1506"/>
    </row>
    <row r="18" spans="2:4" ht="15.75" thickBot="1" x14ac:dyDescent="0.35"/>
    <row r="19" spans="2:4" ht="15.75" thickBot="1" x14ac:dyDescent="0.35">
      <c r="B19" s="1342" t="s">
        <v>262</v>
      </c>
      <c r="C19" s="1344" t="s">
        <v>1042</v>
      </c>
      <c r="D19" s="1343"/>
    </row>
    <row r="20" spans="2:4" x14ac:dyDescent="0.3">
      <c r="B20" s="1493" t="s">
        <v>1041</v>
      </c>
      <c r="C20" s="1501">
        <f t="shared" ref="C20:C34" si="0">IF(D20=0,1,-1)</f>
        <v>1</v>
      </c>
      <c r="D20" s="1507">
        <f>scenario_size</f>
        <v>0</v>
      </c>
    </row>
    <row r="21" spans="2:4" x14ac:dyDescent="0.3">
      <c r="B21" s="1493" t="s">
        <v>1040</v>
      </c>
      <c r="C21" s="1501">
        <f t="shared" si="0"/>
        <v>1</v>
      </c>
      <c r="D21" s="1508">
        <f>avg_wind_speed</f>
        <v>0</v>
      </c>
    </row>
    <row r="22" spans="2:4" x14ac:dyDescent="0.3">
      <c r="B22" s="1493" t="s">
        <v>1039</v>
      </c>
      <c r="C22" s="1501">
        <f t="shared" si="0"/>
        <v>1</v>
      </c>
      <c r="D22" s="1509">
        <f>quantity</f>
        <v>0</v>
      </c>
    </row>
    <row r="23" spans="2:4" x14ac:dyDescent="0.3">
      <c r="B23" s="1493" t="s">
        <v>625</v>
      </c>
      <c r="C23" s="1501">
        <f t="shared" si="0"/>
        <v>1</v>
      </c>
      <c r="D23" s="1510">
        <f>AWES_power</f>
        <v>0</v>
      </c>
    </row>
    <row r="24" spans="2:4" x14ac:dyDescent="0.3">
      <c r="B24" s="1493" t="s">
        <v>1038</v>
      </c>
      <c r="C24" s="1501">
        <f t="shared" si="0"/>
        <v>1</v>
      </c>
      <c r="D24" s="1511">
        <f>park_size</f>
        <v>0</v>
      </c>
    </row>
    <row r="25" spans="2:4" x14ac:dyDescent="0.3">
      <c r="B25" s="1493" t="s">
        <v>630</v>
      </c>
      <c r="C25" s="1501">
        <f t="shared" si="0"/>
        <v>1</v>
      </c>
      <c r="D25" s="1512">
        <f>P_level</f>
        <v>0</v>
      </c>
    </row>
    <row r="26" spans="2:4" x14ac:dyDescent="0.3">
      <c r="B26" s="1493" t="s">
        <v>629</v>
      </c>
      <c r="C26" s="1501">
        <f t="shared" si="0"/>
        <v>1</v>
      </c>
      <c r="D26" s="1512">
        <f>Tp_level</f>
        <v>0</v>
      </c>
    </row>
    <row r="27" spans="2:4" x14ac:dyDescent="0.3">
      <c r="B27" s="1493" t="s">
        <v>635</v>
      </c>
      <c r="C27" s="1501">
        <f t="shared" si="0"/>
        <v>1</v>
      </c>
      <c r="D27" s="1512">
        <f>Tt_level</f>
        <v>0</v>
      </c>
    </row>
    <row r="28" spans="2:4" x14ac:dyDescent="0.3">
      <c r="B28" s="1493" t="s">
        <v>738</v>
      </c>
      <c r="C28" s="1501">
        <f t="shared" si="0"/>
        <v>1</v>
      </c>
      <c r="D28" s="1512">
        <f>Ampyx_WACC_selected</f>
        <v>0</v>
      </c>
    </row>
    <row r="29" spans="2:4" x14ac:dyDescent="0.3">
      <c r="B29" s="1493" t="s">
        <v>737</v>
      </c>
      <c r="C29" s="1501">
        <f t="shared" si="0"/>
        <v>1</v>
      </c>
      <c r="D29" s="1512">
        <f>Project_WACC_selected</f>
        <v>0</v>
      </c>
    </row>
    <row r="30" spans="2:4" x14ac:dyDescent="0.3">
      <c r="B30" s="1493" t="s">
        <v>742</v>
      </c>
      <c r="C30" s="1501">
        <f t="shared" si="0"/>
        <v>1</v>
      </c>
      <c r="D30" s="1512">
        <f>AWES_margin_selected</f>
        <v>0</v>
      </c>
    </row>
    <row r="31" spans="2:4" x14ac:dyDescent="0.3">
      <c r="B31" s="1493" t="s">
        <v>741</v>
      </c>
      <c r="C31" s="1501">
        <f t="shared" si="0"/>
        <v>1</v>
      </c>
      <c r="D31" s="1512">
        <f>SP_margin_selected</f>
        <v>0</v>
      </c>
    </row>
    <row r="32" spans="2:4" x14ac:dyDescent="0.3">
      <c r="B32" s="1493" t="s">
        <v>1035</v>
      </c>
      <c r="C32" s="1501">
        <f t="shared" si="0"/>
        <v>1</v>
      </c>
      <c r="D32" s="1513">
        <f>Horizon_selected</f>
        <v>0</v>
      </c>
    </row>
    <row r="33" spans="2:4" x14ac:dyDescent="0.3">
      <c r="B33" s="1493" t="s">
        <v>1037</v>
      </c>
      <c r="C33" s="1501">
        <f t="shared" si="0"/>
        <v>-1</v>
      </c>
      <c r="D33" s="1514">
        <f>scaling_factor_selected</f>
        <v>0.79999999999999982</v>
      </c>
    </row>
    <row r="34" spans="2:4" ht="15.75" thickBot="1" x14ac:dyDescent="0.35">
      <c r="B34" s="1495" t="s">
        <v>1036</v>
      </c>
      <c r="C34" s="1502">
        <f t="shared" si="0"/>
        <v>-1</v>
      </c>
      <c r="D34" s="1515">
        <f>experience_factor_selected</f>
        <v>0.79999999999999982</v>
      </c>
    </row>
    <row r="39" spans="2:4" x14ac:dyDescent="0.3">
      <c r="B39" s="139"/>
    </row>
    <row r="41" spans="2:4" x14ac:dyDescent="0.3">
      <c r="B41" s="139"/>
    </row>
    <row r="43" spans="2:4" x14ac:dyDescent="0.3">
      <c r="B43" s="139"/>
    </row>
    <row r="45" spans="2:4" x14ac:dyDescent="0.3">
      <c r="B45" s="139"/>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2" id="{076EAC6D-6DF1-4ED1-94AF-9CB04929A9F8}">
            <x14:iconSet iconSet="3Flags" custom="1">
              <x14:cfvo type="percent">
                <xm:f>0</xm:f>
              </x14:cfvo>
              <x14:cfvo type="num">
                <xm:f>0</xm:f>
              </x14:cfvo>
              <x14:cfvo type="num">
                <xm:f>1</xm:f>
              </x14:cfvo>
              <x14:cfIcon iconSet="3Flags" iconId="0"/>
              <x14:cfIcon iconSet="NoIcons" iconId="0"/>
              <x14:cfIcon iconSet="NoIcons" iconId="0"/>
            </x14:iconSet>
          </x14:cfRule>
          <xm:sqref>C20:C34 C10:C13</xm:sqref>
        </x14:conditionalFormatting>
        <x14:conditionalFormatting xmlns:xm="http://schemas.microsoft.com/office/excel/2006/main">
          <x14:cfRule type="iconSet" priority="1" id="{4B567CD6-CD2E-4EE1-BA28-1943292C2560}">
            <x14:iconSet iconSet="3Symbols" custom="1">
              <x14:cfvo type="percent">
                <xm:f>0</xm:f>
              </x14:cfvo>
              <x14:cfvo type="num">
                <xm:f>0</xm:f>
              </x14:cfvo>
              <x14:cfvo type="num">
                <xm:f>1</xm:f>
              </x14:cfvo>
              <x14:cfIcon iconSet="NoIcons" iconId="0"/>
              <x14:cfIcon iconSet="NoIcons" iconId="0"/>
              <x14:cfIcon iconSet="3Symbols" iconId="2"/>
            </x14:iconSet>
          </x14:cfRule>
          <xm:sqref>H4:H6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539"/>
  <sheetViews>
    <sheetView zoomScale="70" zoomScaleNormal="70" workbookViewId="0">
      <pane ySplit="6" topLeftCell="A493" activePane="bottomLeft" state="frozen"/>
      <selection activeCell="L105" sqref="L105"/>
      <selection pane="bottomLeft" activeCell="A513" sqref="A513:XFD513"/>
    </sheetView>
  </sheetViews>
  <sheetFormatPr defaultRowHeight="15" outlineLevelRow="1" x14ac:dyDescent="0.3"/>
  <cols>
    <col min="1" max="1" width="46.375" customWidth="1"/>
    <col min="2" max="2" width="13.875" customWidth="1"/>
    <col min="3" max="3" width="16.375" customWidth="1"/>
    <col min="4" max="4" width="13" customWidth="1"/>
    <col min="5" max="7" width="17.375" customWidth="1"/>
    <col min="8" max="8" width="20.375" bestFit="1" customWidth="1"/>
    <col min="9" max="14" width="17.375" customWidth="1"/>
    <col min="15" max="17" width="17.625" customWidth="1"/>
  </cols>
  <sheetData>
    <row r="1" spans="1:27" s="139" customFormat="1" ht="21" x14ac:dyDescent="0.3">
      <c r="A1" s="6" t="s">
        <v>972</v>
      </c>
      <c r="C1"/>
      <c r="I1" s="1345"/>
      <c r="R1"/>
      <c r="S1"/>
      <c r="T1"/>
    </row>
    <row r="2" spans="1:27" s="139" customFormat="1" ht="15.75" thickBot="1" x14ac:dyDescent="0.35">
      <c r="A2" s="1421" t="s">
        <v>1054</v>
      </c>
      <c r="C2"/>
      <c r="J2" s="1418" t="s">
        <v>988</v>
      </c>
      <c r="K2" s="639"/>
      <c r="L2" s="639"/>
      <c r="M2" s="639"/>
      <c r="N2" s="639"/>
      <c r="O2" s="512"/>
      <c r="P2" s="455" t="s">
        <v>1043</v>
      </c>
      <c r="T2"/>
      <c r="U2"/>
    </row>
    <row r="3" spans="1:27" s="350" customFormat="1" x14ac:dyDescent="0.3">
      <c r="A3" s="1429"/>
      <c r="B3" s="1475" t="s">
        <v>296</v>
      </c>
      <c r="C3" s="1474">
        <f>scenario_size</f>
        <v>0</v>
      </c>
      <c r="D3" s="1475" t="s">
        <v>603</v>
      </c>
      <c r="E3" s="1483">
        <f>park_size</f>
        <v>0</v>
      </c>
      <c r="F3" s="1476" t="s">
        <v>738</v>
      </c>
      <c r="G3" s="1484">
        <f>Ampyx_WACC_selected</f>
        <v>0</v>
      </c>
      <c r="H3" s="1476" t="s">
        <v>1035</v>
      </c>
      <c r="I3" s="1485">
        <f>Horizon_selected</f>
        <v>0</v>
      </c>
      <c r="J3" s="1370" t="s">
        <v>75</v>
      </c>
      <c r="K3" s="1373">
        <f ca="1">Performance!C4</f>
        <v>150</v>
      </c>
      <c r="L3" s="1369" t="s">
        <v>501</v>
      </c>
      <c r="M3" s="1375">
        <f ca="1">N</f>
        <v>30</v>
      </c>
      <c r="N3" s="1365" t="s">
        <v>292</v>
      </c>
      <c r="O3" s="1352">
        <f ca="1">horizon</f>
        <v>25</v>
      </c>
      <c r="P3" s="1429" t="s">
        <v>1059</v>
      </c>
      <c r="Q3" s="1422"/>
      <c r="R3" s="1422"/>
      <c r="S3" s="1422"/>
      <c r="T3" s="1392"/>
      <c r="U3" s="1392"/>
      <c r="V3" s="1422"/>
      <c r="W3" s="1422"/>
      <c r="X3" s="1422"/>
      <c r="Y3" s="1422"/>
      <c r="Z3" s="1422"/>
      <c r="AA3" s="1423"/>
    </row>
    <row r="4" spans="1:27" s="350" customFormat="1" x14ac:dyDescent="0.3">
      <c r="A4" s="1424"/>
      <c r="B4" s="1478" t="s">
        <v>713</v>
      </c>
      <c r="C4" s="1486">
        <f>avg_wind_speed</f>
        <v>0</v>
      </c>
      <c r="D4" s="1478" t="s">
        <v>630</v>
      </c>
      <c r="E4" s="1487">
        <f>P_level</f>
        <v>0</v>
      </c>
      <c r="F4" s="1479" t="s">
        <v>737</v>
      </c>
      <c r="G4" s="1487">
        <f>Project_WACC_selected</f>
        <v>0</v>
      </c>
      <c r="H4" s="1479" t="s">
        <v>1031</v>
      </c>
      <c r="I4" s="1516">
        <f>IF(greenfield,1,0)</f>
        <v>1</v>
      </c>
      <c r="J4" s="1367" t="s">
        <v>904</v>
      </c>
      <c r="K4" s="1149">
        <f ca="1">Performance!C3</f>
        <v>12</v>
      </c>
      <c r="L4" s="1347" t="s">
        <v>905</v>
      </c>
      <c r="M4" s="1376">
        <f ca="1">Performance!$C$8</f>
        <v>15.539326163190678</v>
      </c>
      <c r="N4" s="1362" t="s">
        <v>1051</v>
      </c>
      <c r="O4" s="1379">
        <f ca="1">LCOE</f>
        <v>97.766902413760249</v>
      </c>
      <c r="P4" s="1424" t="s">
        <v>1045</v>
      </c>
      <c r="T4" s="16"/>
      <c r="U4" s="16"/>
      <c r="AA4" s="1425"/>
    </row>
    <row r="5" spans="1:27" s="350" customFormat="1" x14ac:dyDescent="0.3">
      <c r="A5" s="1424"/>
      <c r="B5" s="1478" t="s">
        <v>481</v>
      </c>
      <c r="C5" s="1488">
        <f>quantity</f>
        <v>0</v>
      </c>
      <c r="D5" s="1478" t="s">
        <v>629</v>
      </c>
      <c r="E5" s="1487">
        <f>Tp_level</f>
        <v>0</v>
      </c>
      <c r="F5" s="1479" t="s">
        <v>742</v>
      </c>
      <c r="G5" s="1487">
        <f>AWES_margin_selected</f>
        <v>0</v>
      </c>
      <c r="H5" s="1479" t="s">
        <v>1032</v>
      </c>
      <c r="I5" s="1516">
        <f>IF(offshore,1,0)</f>
        <v>0</v>
      </c>
      <c r="J5" s="1366" t="s">
        <v>65</v>
      </c>
      <c r="K5" s="1374">
        <f ca="1">Tmax_p</f>
        <v>42.000000000000007</v>
      </c>
      <c r="L5" s="1361" t="s">
        <v>910</v>
      </c>
      <c r="M5" s="1377">
        <f ca="1">Scenarios!D22</f>
        <v>12.5</v>
      </c>
      <c r="N5" s="1362" t="s">
        <v>1052</v>
      </c>
      <c r="O5" s="1363">
        <f ca="1">'LCOE analysis'!D19</f>
        <v>0.40220801713922949</v>
      </c>
      <c r="P5" s="1424"/>
      <c r="S5" s="16"/>
      <c r="T5" s="16"/>
      <c r="U5" s="16"/>
      <c r="AA5" s="1425"/>
    </row>
    <row r="6" spans="1:27" s="350" customFormat="1" ht="15.75" thickBot="1" x14ac:dyDescent="0.35">
      <c r="A6" s="1426"/>
      <c r="B6" s="1481" t="s">
        <v>625</v>
      </c>
      <c r="C6" s="1489">
        <f>AWES_power</f>
        <v>0</v>
      </c>
      <c r="D6" s="1481" t="s">
        <v>635</v>
      </c>
      <c r="E6" s="1490">
        <f>Tt_level</f>
        <v>0</v>
      </c>
      <c r="F6" s="1482" t="s">
        <v>741</v>
      </c>
      <c r="G6" s="1490">
        <f>SP_margin_selected</f>
        <v>0</v>
      </c>
      <c r="H6" s="1482" t="s">
        <v>1033</v>
      </c>
      <c r="I6" s="1517">
        <f>IF(offshore_floating,1,0)</f>
        <v>0</v>
      </c>
      <c r="J6" s="1412" t="s">
        <v>1053</v>
      </c>
      <c r="K6" s="1372">
        <f ca="1">avg_speed</f>
        <v>10.563903252812876</v>
      </c>
      <c r="L6" s="1348" t="s">
        <v>984</v>
      </c>
      <c r="M6" s="1378">
        <f ca="1">Scenarios!D24</f>
        <v>0.28000000000000003</v>
      </c>
      <c r="N6" s="1364" t="s">
        <v>621</v>
      </c>
      <c r="O6" s="1380">
        <f ca="1">'LCOE analysis'!D18</f>
        <v>15.865899652091185</v>
      </c>
      <c r="P6" s="1426"/>
      <c r="Q6" s="1427"/>
      <c r="R6" s="1427"/>
      <c r="S6" s="1397"/>
      <c r="T6" s="1397"/>
      <c r="U6" s="1397"/>
      <c r="V6" s="1427"/>
      <c r="W6" s="1427"/>
      <c r="X6" s="1427"/>
      <c r="Y6" s="1427"/>
      <c r="Z6" s="1427"/>
      <c r="AA6" s="1428"/>
    </row>
    <row r="8" spans="1:27" x14ac:dyDescent="0.3">
      <c r="A8" s="1534" t="s">
        <v>1118</v>
      </c>
    </row>
    <row r="9" spans="1:27" x14ac:dyDescent="0.3">
      <c r="A9" s="1560" t="s">
        <v>1116</v>
      </c>
    </row>
    <row r="10" spans="1:27" x14ac:dyDescent="0.3">
      <c r="A10" s="1561" t="s">
        <v>1439</v>
      </c>
    </row>
    <row r="11" spans="1:27" x14ac:dyDescent="0.3">
      <c r="A11" s="1561" t="s">
        <v>1440</v>
      </c>
    </row>
    <row r="12" spans="1:27" x14ac:dyDescent="0.3">
      <c r="A12" s="1560" t="s">
        <v>1117</v>
      </c>
    </row>
    <row r="13" spans="1:27" x14ac:dyDescent="0.3">
      <c r="A13" s="1561" t="s">
        <v>1124</v>
      </c>
    </row>
    <row r="14" spans="1:27" x14ac:dyDescent="0.3">
      <c r="A14" s="1561" t="s">
        <v>1125</v>
      </c>
    </row>
    <row r="15" spans="1:27" x14ac:dyDescent="0.3">
      <c r="A15" s="1561" t="s">
        <v>1126</v>
      </c>
    </row>
    <row r="16" spans="1:27" x14ac:dyDescent="0.3">
      <c r="A16" s="1561" t="s">
        <v>1180</v>
      </c>
    </row>
    <row r="17" spans="1:5" x14ac:dyDescent="0.3">
      <c r="A17" s="1562" t="s">
        <v>1181</v>
      </c>
    </row>
    <row r="18" spans="1:5" x14ac:dyDescent="0.3">
      <c r="A18" s="1562" t="s">
        <v>1182</v>
      </c>
    </row>
    <row r="19" spans="1:5" x14ac:dyDescent="0.3">
      <c r="A19" s="1560" t="s">
        <v>1275</v>
      </c>
    </row>
    <row r="20" spans="1:5" x14ac:dyDescent="0.3">
      <c r="A20" s="1561" t="s">
        <v>1276</v>
      </c>
    </row>
    <row r="21" spans="1:5" x14ac:dyDescent="0.3">
      <c r="A21" s="1561" t="s">
        <v>1277</v>
      </c>
    </row>
    <row r="22" spans="1:5" x14ac:dyDescent="0.3">
      <c r="A22" s="1560" t="s">
        <v>1421</v>
      </c>
    </row>
    <row r="23" spans="1:5" x14ac:dyDescent="0.3">
      <c r="A23" s="1562"/>
    </row>
    <row r="24" spans="1:5" x14ac:dyDescent="0.3">
      <c r="A24" s="1562"/>
    </row>
    <row r="27" spans="1:5" x14ac:dyDescent="0.3">
      <c r="A27" s="1584" t="s">
        <v>1116</v>
      </c>
      <c r="B27" s="1585" t="s">
        <v>892</v>
      </c>
      <c r="C27" s="1585" t="s">
        <v>282</v>
      </c>
      <c r="D27" s="1585" t="s">
        <v>288</v>
      </c>
      <c r="E27" s="1585" t="s">
        <v>1069</v>
      </c>
    </row>
    <row r="28" spans="1:5" x14ac:dyDescent="0.3">
      <c r="A28" s="1586" t="s">
        <v>1439</v>
      </c>
      <c r="B28" s="90" t="s">
        <v>892</v>
      </c>
      <c r="C28" s="90" t="s">
        <v>282</v>
      </c>
      <c r="D28" s="90" t="s">
        <v>288</v>
      </c>
      <c r="E28" s="90" t="s">
        <v>1069</v>
      </c>
    </row>
    <row r="29" spans="1:5" x14ac:dyDescent="0.3">
      <c r="A29" s="1563"/>
      <c r="C29" s="394"/>
      <c r="D29" s="148"/>
    </row>
    <row r="30" spans="1:5" x14ac:dyDescent="0.3">
      <c r="A30" s="1563"/>
      <c r="C30" s="394"/>
      <c r="D30" s="148"/>
    </row>
    <row r="31" spans="1:5" x14ac:dyDescent="0.3">
      <c r="A31" s="1563"/>
      <c r="C31" s="394"/>
      <c r="D31" s="148"/>
    </row>
    <row r="32" spans="1:5" x14ac:dyDescent="0.3">
      <c r="A32" s="1563"/>
      <c r="C32" s="394"/>
      <c r="D32" s="148"/>
    </row>
    <row r="33" spans="1:16" x14ac:dyDescent="0.3">
      <c r="A33" s="1586" t="s">
        <v>1440</v>
      </c>
      <c r="B33" s="90" t="s">
        <v>892</v>
      </c>
      <c r="C33" s="90" t="s">
        <v>282</v>
      </c>
      <c r="D33" s="90" t="s">
        <v>288</v>
      </c>
      <c r="E33" s="90" t="s">
        <v>1069</v>
      </c>
    </row>
    <row r="34" spans="1:16" x14ac:dyDescent="0.3">
      <c r="A34" s="1563" t="s">
        <v>472</v>
      </c>
      <c r="B34" t="s">
        <v>507</v>
      </c>
      <c r="C34" s="1564">
        <v>1720</v>
      </c>
      <c r="D34" s="148" t="s">
        <v>471</v>
      </c>
    </row>
    <row r="35" spans="1:16" x14ac:dyDescent="0.3">
      <c r="A35" s="1563" t="s">
        <v>646</v>
      </c>
      <c r="B35" t="s">
        <v>51</v>
      </c>
      <c r="C35" s="156">
        <v>90</v>
      </c>
      <c r="D35" s="148" t="s">
        <v>1064</v>
      </c>
    </row>
    <row r="36" spans="1:16" x14ac:dyDescent="0.3">
      <c r="A36" s="1563" t="s">
        <v>647</v>
      </c>
      <c r="B36" t="s">
        <v>294</v>
      </c>
      <c r="C36" s="156">
        <v>35</v>
      </c>
      <c r="D36" s="148" t="s">
        <v>1065</v>
      </c>
    </row>
    <row r="37" spans="1:16" x14ac:dyDescent="0.3">
      <c r="A37" s="1563" t="s">
        <v>648</v>
      </c>
      <c r="B37" t="s">
        <v>294</v>
      </c>
      <c r="C37" s="156">
        <v>30</v>
      </c>
      <c r="D37" s="148" t="s">
        <v>1066</v>
      </c>
    </row>
    <row r="38" spans="1:16" x14ac:dyDescent="0.3">
      <c r="A38" s="1565" t="s">
        <v>189</v>
      </c>
      <c r="B38" t="s">
        <v>506</v>
      </c>
      <c r="C38" s="121">
        <v>0.06</v>
      </c>
      <c r="D38" s="182" t="s">
        <v>505</v>
      </c>
    </row>
    <row r="39" spans="1:16" x14ac:dyDescent="0.3">
      <c r="A39" s="1563" t="s">
        <v>571</v>
      </c>
      <c r="B39" t="s">
        <v>551</v>
      </c>
      <c r="C39" s="1566">
        <v>50</v>
      </c>
      <c r="D39" s="139"/>
    </row>
    <row r="40" spans="1:16" x14ac:dyDescent="0.3">
      <c r="A40" s="1563" t="s">
        <v>1420</v>
      </c>
      <c r="B40" t="s">
        <v>825</v>
      </c>
      <c r="C40" s="518">
        <v>80</v>
      </c>
    </row>
    <row r="43" spans="1:16" x14ac:dyDescent="0.3">
      <c r="A43" s="1584" t="s">
        <v>1117</v>
      </c>
      <c r="B43" s="1585" t="s">
        <v>892</v>
      </c>
      <c r="C43" s="1585" t="s">
        <v>282</v>
      </c>
      <c r="D43" s="1585" t="s">
        <v>288</v>
      </c>
      <c r="E43" s="1585" t="s">
        <v>1069</v>
      </c>
    </row>
    <row r="44" spans="1:16" x14ac:dyDescent="0.3">
      <c r="A44" s="1586" t="s">
        <v>1123</v>
      </c>
      <c r="B44" s="90" t="s">
        <v>892</v>
      </c>
      <c r="C44" s="90" t="s">
        <v>282</v>
      </c>
      <c r="D44" s="90" t="s">
        <v>288</v>
      </c>
      <c r="E44" s="90" t="s">
        <v>1069</v>
      </c>
    </row>
    <row r="45" spans="1:16" x14ac:dyDescent="0.3">
      <c r="A45" s="123" t="s">
        <v>1111</v>
      </c>
      <c r="B45" s="119" t="s">
        <v>485</v>
      </c>
      <c r="C45" s="914">
        <v>0.06</v>
      </c>
      <c r="E45" s="25"/>
      <c r="P45" s="710"/>
    </row>
    <row r="46" spans="1:16" x14ac:dyDescent="0.3">
      <c r="A46" s="123" t="s">
        <v>1112</v>
      </c>
      <c r="B46" s="119" t="s">
        <v>485</v>
      </c>
      <c r="C46" s="914">
        <f>1.25*0.2</f>
        <v>0.25</v>
      </c>
      <c r="E46" s="25"/>
      <c r="P46" s="710"/>
    </row>
    <row r="47" spans="1:16" x14ac:dyDescent="0.3">
      <c r="A47" s="123"/>
      <c r="B47" s="119"/>
      <c r="C47" s="748"/>
      <c r="E47" s="25"/>
      <c r="P47" s="710"/>
    </row>
    <row r="48" spans="1:16" x14ac:dyDescent="0.3">
      <c r="A48" s="123" t="s">
        <v>1115</v>
      </c>
      <c r="B48" t="s">
        <v>486</v>
      </c>
      <c r="C48" s="914">
        <v>0.15</v>
      </c>
      <c r="D48" s="148"/>
      <c r="E48" s="25"/>
      <c r="L48" s="123"/>
    </row>
    <row r="49" spans="1:12" x14ac:dyDescent="0.3">
      <c r="A49" s="123" t="s">
        <v>1113</v>
      </c>
      <c r="B49" t="s">
        <v>486</v>
      </c>
      <c r="C49" s="914">
        <v>0.28000000000000003</v>
      </c>
      <c r="D49" s="148"/>
      <c r="E49" s="25"/>
      <c r="L49" s="123"/>
    </row>
    <row r="50" spans="1:12" x14ac:dyDescent="0.3">
      <c r="A50" s="123" t="s">
        <v>1114</v>
      </c>
      <c r="B50" t="s">
        <v>486</v>
      </c>
      <c r="C50" s="914">
        <v>7.0000000000000007E-2</v>
      </c>
      <c r="D50" s="148"/>
      <c r="E50" s="25"/>
    </row>
    <row r="51" spans="1:12" x14ac:dyDescent="0.3">
      <c r="A51" s="123"/>
      <c r="C51" s="748"/>
      <c r="D51" s="148"/>
      <c r="E51" s="25"/>
    </row>
    <row r="52" spans="1:12" x14ac:dyDescent="0.3">
      <c r="A52" s="123" t="s">
        <v>223</v>
      </c>
      <c r="B52" t="s">
        <v>893</v>
      </c>
      <c r="C52" s="914">
        <v>1</v>
      </c>
      <c r="E52" s="25"/>
    </row>
    <row r="53" spans="1:12" x14ac:dyDescent="0.3">
      <c r="A53" s="123"/>
      <c r="E53" s="25"/>
    </row>
    <row r="54" spans="1:12" ht="16.5" x14ac:dyDescent="0.3">
      <c r="A54" s="123" t="s">
        <v>1119</v>
      </c>
      <c r="B54" s="1554" t="s">
        <v>893</v>
      </c>
      <c r="C54" s="1567" t="s">
        <v>484</v>
      </c>
      <c r="E54" s="25"/>
    </row>
    <row r="55" spans="1:12" x14ac:dyDescent="0.3">
      <c r="A55" s="123" t="s">
        <v>1120</v>
      </c>
      <c r="B55" s="1554" t="s">
        <v>173</v>
      </c>
      <c r="C55" s="728">
        <v>1837.2350989214201</v>
      </c>
      <c r="E55" s="25"/>
    </row>
    <row r="56" spans="1:12" x14ac:dyDescent="0.3">
      <c r="E56" s="25"/>
    </row>
    <row r="57" spans="1:12" ht="16.5" x14ac:dyDescent="0.3">
      <c r="A57" s="123" t="s">
        <v>1122</v>
      </c>
      <c r="B57" t="s">
        <v>415</v>
      </c>
      <c r="C57" s="1567">
        <v>0.5</v>
      </c>
      <c r="E57" s="25"/>
    </row>
    <row r="58" spans="1:12" x14ac:dyDescent="0.3">
      <c r="E58" s="25"/>
    </row>
    <row r="59" spans="1:12" ht="16.5" x14ac:dyDescent="0.3">
      <c r="A59" s="123" t="s">
        <v>1121</v>
      </c>
      <c r="B59" t="s">
        <v>305</v>
      </c>
      <c r="C59" s="1567">
        <v>20</v>
      </c>
      <c r="E59" s="25"/>
    </row>
    <row r="60" spans="1:12" x14ac:dyDescent="0.3">
      <c r="E60" s="25"/>
    </row>
    <row r="61" spans="1:12" x14ac:dyDescent="0.3">
      <c r="A61" s="123" t="s">
        <v>1129</v>
      </c>
      <c r="B61" t="s">
        <v>305</v>
      </c>
      <c r="C61" s="127">
        <v>2</v>
      </c>
      <c r="E61" s="25"/>
    </row>
    <row r="62" spans="1:12" x14ac:dyDescent="0.3">
      <c r="A62" s="123" t="s">
        <v>1130</v>
      </c>
      <c r="B62" t="s">
        <v>305</v>
      </c>
      <c r="C62" s="127">
        <v>2</v>
      </c>
      <c r="E62" s="25"/>
    </row>
    <row r="63" spans="1:12" x14ac:dyDescent="0.3">
      <c r="A63" s="123" t="s">
        <v>1131</v>
      </c>
      <c r="B63" t="s">
        <v>305</v>
      </c>
      <c r="C63" s="127">
        <v>2</v>
      </c>
      <c r="E63" s="25"/>
    </row>
    <row r="64" spans="1:12" x14ac:dyDescent="0.3">
      <c r="A64" s="123" t="s">
        <v>1132</v>
      </c>
      <c r="B64" t="s">
        <v>305</v>
      </c>
      <c r="C64" s="127">
        <v>2</v>
      </c>
      <c r="E64" s="25"/>
    </row>
    <row r="65" spans="1:12" x14ac:dyDescent="0.3">
      <c r="A65" s="123" t="s">
        <v>1133</v>
      </c>
      <c r="B65" t="s">
        <v>305</v>
      </c>
      <c r="C65" s="127">
        <v>2</v>
      </c>
      <c r="E65" s="25"/>
      <c r="L65" s="123"/>
    </row>
    <row r="66" spans="1:12" x14ac:dyDescent="0.3">
      <c r="A66" s="123" t="s">
        <v>1134</v>
      </c>
      <c r="B66" t="s">
        <v>305</v>
      </c>
      <c r="C66" s="127">
        <v>2</v>
      </c>
      <c r="E66" s="25"/>
      <c r="L66" s="123"/>
    </row>
    <row r="67" spans="1:12" x14ac:dyDescent="0.3">
      <c r="A67" s="126"/>
      <c r="B67" s="119"/>
      <c r="E67" s="25"/>
      <c r="L67" s="123"/>
    </row>
    <row r="68" spans="1:12" x14ac:dyDescent="0.3">
      <c r="A68" s="123" t="s">
        <v>1141</v>
      </c>
      <c r="B68" s="119" t="s">
        <v>487</v>
      </c>
      <c r="C68" s="1551">
        <v>0.05</v>
      </c>
      <c r="E68" s="25"/>
      <c r="L68" s="123"/>
    </row>
    <row r="69" spans="1:12" x14ac:dyDescent="0.3">
      <c r="A69" s="123" t="s">
        <v>1142</v>
      </c>
      <c r="B69" s="119" t="s">
        <v>487</v>
      </c>
      <c r="C69" s="1551">
        <v>6.0000000000000005E-2</v>
      </c>
      <c r="E69" s="25"/>
      <c r="L69" s="123"/>
    </row>
    <row r="70" spans="1:12" x14ac:dyDescent="0.3">
      <c r="A70" s="123" t="s">
        <v>1143</v>
      </c>
      <c r="B70" s="119" t="s">
        <v>487</v>
      </c>
      <c r="C70" s="1551">
        <v>0.04</v>
      </c>
      <c r="E70" s="25"/>
      <c r="L70" s="123"/>
    </row>
    <row r="71" spans="1:12" x14ac:dyDescent="0.3">
      <c r="A71" s="123" t="s">
        <v>1144</v>
      </c>
      <c r="B71" s="119" t="s">
        <v>487</v>
      </c>
      <c r="C71" s="1551">
        <v>6.25E-2</v>
      </c>
      <c r="E71" s="25"/>
      <c r="L71" s="123"/>
    </row>
    <row r="72" spans="1:12" x14ac:dyDescent="0.3">
      <c r="A72" s="123" t="s">
        <v>1145</v>
      </c>
      <c r="B72" s="119" t="s">
        <v>487</v>
      </c>
      <c r="C72" s="1551">
        <v>6.25E-2</v>
      </c>
      <c r="E72" s="25"/>
      <c r="L72" s="123"/>
    </row>
    <row r="73" spans="1:12" x14ac:dyDescent="0.3">
      <c r="A73" s="123" t="s">
        <v>1146</v>
      </c>
      <c r="B73" s="119" t="s">
        <v>487</v>
      </c>
      <c r="C73" s="1551">
        <v>6.25E-2</v>
      </c>
      <c r="E73" s="25"/>
      <c r="L73" s="123"/>
    </row>
    <row r="74" spans="1:12" x14ac:dyDescent="0.3">
      <c r="A74" s="123" t="s">
        <v>1147</v>
      </c>
      <c r="B74" s="119" t="s">
        <v>487</v>
      </c>
      <c r="C74" s="1551">
        <f>(45/350000)*1000</f>
        <v>0.12857142857142859</v>
      </c>
      <c r="E74" s="25"/>
      <c r="L74" s="123"/>
    </row>
    <row r="75" spans="1:12" x14ac:dyDescent="0.3">
      <c r="A75" s="123"/>
      <c r="B75" s="119"/>
      <c r="C75" s="749"/>
      <c r="E75" s="25"/>
      <c r="L75" s="123"/>
    </row>
    <row r="76" spans="1:12" ht="16.5" x14ac:dyDescent="0.3">
      <c r="A76" s="123" t="s">
        <v>1148</v>
      </c>
      <c r="B76" s="1554" t="s">
        <v>893</v>
      </c>
      <c r="C76" s="1568" t="s">
        <v>495</v>
      </c>
      <c r="E76" s="25" t="s">
        <v>1155</v>
      </c>
      <c r="L76" s="123"/>
    </row>
    <row r="77" spans="1:12" x14ac:dyDescent="0.3">
      <c r="A77" s="123" t="s">
        <v>1149</v>
      </c>
      <c r="B77" s="1554" t="s">
        <v>535</v>
      </c>
      <c r="C77" s="1569">
        <v>337.5</v>
      </c>
      <c r="E77" s="25" t="s">
        <v>1155</v>
      </c>
      <c r="L77" s="123"/>
    </row>
    <row r="78" spans="1:12" x14ac:dyDescent="0.3">
      <c r="A78" s="123"/>
      <c r="B78" s="119"/>
      <c r="C78" s="749"/>
      <c r="E78" s="25"/>
      <c r="L78" s="123"/>
    </row>
    <row r="79" spans="1:12" ht="16.5" x14ac:dyDescent="0.3">
      <c r="A79" s="123" t="s">
        <v>1150</v>
      </c>
      <c r="B79" s="1554" t="s">
        <v>893</v>
      </c>
      <c r="C79" s="1568" t="s">
        <v>495</v>
      </c>
      <c r="E79" s="25"/>
    </row>
    <row r="80" spans="1:12" x14ac:dyDescent="0.3">
      <c r="A80" s="123" t="s">
        <v>1151</v>
      </c>
      <c r="B80" s="1554" t="s">
        <v>535</v>
      </c>
      <c r="C80" s="1569">
        <v>337.5</v>
      </c>
      <c r="E80" s="25"/>
      <c r="L80" s="123"/>
    </row>
    <row r="81" spans="1:12" x14ac:dyDescent="0.3">
      <c r="A81" s="123" t="s">
        <v>1152</v>
      </c>
      <c r="B81" s="1554" t="s">
        <v>487</v>
      </c>
      <c r="C81" s="1570">
        <f>17/350000*1000</f>
        <v>4.8571428571428571E-2</v>
      </c>
      <c r="E81" s="25"/>
      <c r="L81" s="123"/>
    </row>
    <row r="82" spans="1:12" x14ac:dyDescent="0.3">
      <c r="A82" s="123"/>
      <c r="B82" s="119"/>
      <c r="C82" s="749"/>
      <c r="E82" s="25"/>
      <c r="L82" s="123"/>
    </row>
    <row r="83" spans="1:12" x14ac:dyDescent="0.3">
      <c r="A83" s="123" t="s">
        <v>1156</v>
      </c>
      <c r="B83" s="119" t="s">
        <v>173</v>
      </c>
      <c r="C83" s="1551">
        <v>241.07142857142901</v>
      </c>
      <c r="E83" s="25" t="s">
        <v>1157</v>
      </c>
      <c r="L83" s="123"/>
    </row>
    <row r="84" spans="1:12" x14ac:dyDescent="0.3">
      <c r="A84" s="123"/>
      <c r="B84" s="119"/>
      <c r="C84" s="749"/>
      <c r="E84" s="25"/>
      <c r="L84" s="123"/>
    </row>
    <row r="85" spans="1:12" x14ac:dyDescent="0.3">
      <c r="A85" s="123" t="s">
        <v>1159</v>
      </c>
      <c r="B85" s="119" t="s">
        <v>173</v>
      </c>
      <c r="C85" s="1551">
        <v>123.19805060619657</v>
      </c>
      <c r="E85" s="25"/>
      <c r="L85" s="123"/>
    </row>
    <row r="86" spans="1:12" x14ac:dyDescent="0.3">
      <c r="A86" s="123" t="s">
        <v>1160</v>
      </c>
      <c r="B86" t="s">
        <v>486</v>
      </c>
      <c r="C86" s="1551" t="s">
        <v>893</v>
      </c>
      <c r="E86" s="25"/>
      <c r="L86" s="123"/>
    </row>
    <row r="87" spans="1:12" x14ac:dyDescent="0.3">
      <c r="A87" s="123" t="s">
        <v>1168</v>
      </c>
      <c r="B87" s="119" t="s">
        <v>305</v>
      </c>
      <c r="C87" s="1551">
        <v>100</v>
      </c>
      <c r="E87" s="25"/>
      <c r="L87" s="123"/>
    </row>
    <row r="88" spans="1:12" x14ac:dyDescent="0.3">
      <c r="A88" s="123" t="s">
        <v>1169</v>
      </c>
      <c r="B88" s="119" t="s">
        <v>415</v>
      </c>
      <c r="C88" s="125">
        <v>0.5</v>
      </c>
      <c r="E88" s="25"/>
      <c r="L88" s="123"/>
    </row>
    <row r="89" spans="1:12" x14ac:dyDescent="0.3">
      <c r="A89" s="123"/>
      <c r="B89" s="119"/>
      <c r="C89" s="749"/>
      <c r="E89" s="25"/>
      <c r="L89" s="123"/>
    </row>
    <row r="90" spans="1:12" x14ac:dyDescent="0.3">
      <c r="A90" s="123" t="s">
        <v>1165</v>
      </c>
      <c r="B90" s="119" t="s">
        <v>173</v>
      </c>
      <c r="C90" s="1551">
        <v>233.88677982718551</v>
      </c>
      <c r="E90" s="25"/>
      <c r="L90" s="123"/>
    </row>
    <row r="91" spans="1:12" x14ac:dyDescent="0.3">
      <c r="A91" s="123" t="s">
        <v>1166</v>
      </c>
      <c r="B91" t="s">
        <v>486</v>
      </c>
      <c r="C91" s="1551">
        <v>0.42500000000000004</v>
      </c>
      <c r="E91" s="25"/>
      <c r="L91" s="123"/>
    </row>
    <row r="92" spans="1:12" x14ac:dyDescent="0.3">
      <c r="A92" s="123"/>
      <c r="B92" s="119"/>
      <c r="C92" s="749"/>
      <c r="E92" s="25"/>
      <c r="L92" s="123"/>
    </row>
    <row r="93" spans="1:12" x14ac:dyDescent="0.3">
      <c r="A93" s="123" t="s">
        <v>1164</v>
      </c>
      <c r="B93" s="119" t="s">
        <v>173</v>
      </c>
      <c r="C93" s="1551">
        <v>303.75</v>
      </c>
      <c r="E93" s="25"/>
      <c r="L93" s="123"/>
    </row>
    <row r="94" spans="1:12" x14ac:dyDescent="0.3">
      <c r="A94" s="123" t="s">
        <v>1163</v>
      </c>
      <c r="B94" t="s">
        <v>486</v>
      </c>
      <c r="C94" s="1551">
        <v>0.2</v>
      </c>
      <c r="E94" s="25"/>
      <c r="L94" s="123"/>
    </row>
    <row r="95" spans="1:12" x14ac:dyDescent="0.3">
      <c r="A95" s="126"/>
      <c r="B95" s="119"/>
      <c r="C95" s="749"/>
      <c r="E95" s="25"/>
      <c r="L95" s="123"/>
    </row>
    <row r="96" spans="1:12" x14ac:dyDescent="0.3">
      <c r="A96" s="123" t="s">
        <v>1162</v>
      </c>
      <c r="B96" s="119" t="s">
        <v>173</v>
      </c>
      <c r="C96" s="1551">
        <v>67.5</v>
      </c>
      <c r="E96" s="25" t="s">
        <v>1167</v>
      </c>
      <c r="L96" s="123"/>
    </row>
    <row r="97" spans="1:12" x14ac:dyDescent="0.3">
      <c r="A97" s="123" t="s">
        <v>1161</v>
      </c>
      <c r="B97" t="s">
        <v>485</v>
      </c>
      <c r="C97" s="1551">
        <v>0.22222222222222221</v>
      </c>
      <c r="E97" s="25" t="s">
        <v>1167</v>
      </c>
      <c r="L97" s="123"/>
    </row>
    <row r="98" spans="1:12" x14ac:dyDescent="0.3">
      <c r="A98" s="123" t="s">
        <v>1170</v>
      </c>
      <c r="B98" s="119" t="s">
        <v>415</v>
      </c>
      <c r="C98" s="125">
        <v>0.5</v>
      </c>
      <c r="E98" s="25"/>
      <c r="L98" s="123"/>
    </row>
    <row r="99" spans="1:12" x14ac:dyDescent="0.3">
      <c r="A99" s="123"/>
      <c r="C99" s="749"/>
      <c r="E99" s="25"/>
      <c r="L99" s="123"/>
    </row>
    <row r="100" spans="1:12" x14ac:dyDescent="0.3">
      <c r="A100" s="123" t="s">
        <v>1171</v>
      </c>
      <c r="B100" s="119" t="s">
        <v>173</v>
      </c>
      <c r="C100" s="1551">
        <v>117.073233969375</v>
      </c>
      <c r="E100" s="25"/>
      <c r="L100" s="123"/>
    </row>
    <row r="101" spans="1:12" x14ac:dyDescent="0.3">
      <c r="A101" s="123" t="s">
        <v>1173</v>
      </c>
      <c r="B101" s="119" t="s">
        <v>486</v>
      </c>
      <c r="C101" s="1551">
        <v>0.05</v>
      </c>
      <c r="E101" s="25"/>
      <c r="L101" s="123"/>
    </row>
    <row r="102" spans="1:12" x14ac:dyDescent="0.3">
      <c r="A102" s="123"/>
      <c r="C102" s="749"/>
      <c r="E102" s="25"/>
      <c r="L102" s="123"/>
    </row>
    <row r="103" spans="1:12" x14ac:dyDescent="0.3">
      <c r="A103" s="123" t="s">
        <v>1172</v>
      </c>
      <c r="B103" t="s">
        <v>173</v>
      </c>
      <c r="C103" s="1551">
        <v>117.073233969375</v>
      </c>
      <c r="E103" s="25"/>
      <c r="L103" s="123"/>
    </row>
    <row r="104" spans="1:12" x14ac:dyDescent="0.3">
      <c r="A104" s="123" t="s">
        <v>1174</v>
      </c>
      <c r="B104" s="119" t="s">
        <v>486</v>
      </c>
      <c r="C104" s="1551">
        <v>0.05</v>
      </c>
      <c r="E104" s="25"/>
      <c r="L104" s="123"/>
    </row>
    <row r="105" spans="1:12" x14ac:dyDescent="0.3">
      <c r="A105" s="123"/>
      <c r="C105" s="749"/>
      <c r="E105" s="25"/>
      <c r="L105" s="123"/>
    </row>
    <row r="106" spans="1:12" x14ac:dyDescent="0.3">
      <c r="A106" s="126"/>
      <c r="B106" s="119"/>
      <c r="E106" s="25"/>
      <c r="L106" s="123"/>
    </row>
    <row r="107" spans="1:12" x14ac:dyDescent="0.3">
      <c r="A107" s="126"/>
      <c r="B107" s="119"/>
      <c r="E107" s="25"/>
      <c r="L107" s="123"/>
    </row>
    <row r="108" spans="1:12" x14ac:dyDescent="0.3">
      <c r="A108" s="1586" t="s">
        <v>1127</v>
      </c>
      <c r="B108" s="90" t="s">
        <v>892</v>
      </c>
      <c r="C108" s="90" t="s">
        <v>282</v>
      </c>
      <c r="D108" s="90" t="s">
        <v>288</v>
      </c>
      <c r="E108" s="90" t="s">
        <v>1069</v>
      </c>
      <c r="G108" s="25"/>
      <c r="H108" s="25"/>
      <c r="I108" s="25"/>
      <c r="L108" s="123"/>
    </row>
    <row r="109" spans="1:12" ht="16.5" x14ac:dyDescent="0.3">
      <c r="A109" s="43" t="s">
        <v>1072</v>
      </c>
      <c r="B109" t="s">
        <v>893</v>
      </c>
      <c r="C109" s="1567" t="str">
        <f>IF(gen_type_nr=2,"Peak Power","Rated power")</f>
        <v>Peak Power</v>
      </c>
      <c r="L109" s="1538"/>
    </row>
    <row r="110" spans="1:12" ht="16.5" x14ac:dyDescent="0.3">
      <c r="A110" s="43" t="s">
        <v>1073</v>
      </c>
      <c r="B110" s="795" t="s">
        <v>503</v>
      </c>
      <c r="C110" s="728">
        <v>1.35</v>
      </c>
      <c r="G110" s="1527"/>
      <c r="H110" s="1527"/>
      <c r="I110" s="1527"/>
      <c r="L110" s="123"/>
    </row>
    <row r="111" spans="1:12" ht="16.5" x14ac:dyDescent="0.3">
      <c r="A111" s="43" t="s">
        <v>1074</v>
      </c>
      <c r="B111" t="s">
        <v>497</v>
      </c>
      <c r="C111" s="1567">
        <f>48+4+69+7+8+95</f>
        <v>231</v>
      </c>
      <c r="D111" s="1984" t="s">
        <v>1098</v>
      </c>
      <c r="G111" s="1527"/>
      <c r="H111" s="1527"/>
      <c r="I111" s="1527"/>
    </row>
    <row r="112" spans="1:12" ht="16.5" x14ac:dyDescent="0.3">
      <c r="A112" s="43" t="s">
        <v>1075</v>
      </c>
      <c r="B112" t="s">
        <v>497</v>
      </c>
      <c r="C112" s="1567">
        <f>(808+369)/5</f>
        <v>235.4</v>
      </c>
      <c r="D112" s="1984"/>
      <c r="G112" s="1527"/>
      <c r="H112" s="1527"/>
      <c r="I112" s="1527"/>
    </row>
    <row r="113" spans="1:12" ht="16.5" x14ac:dyDescent="0.3">
      <c r="A113" s="43" t="s">
        <v>1076</v>
      </c>
      <c r="B113" t="s">
        <v>497</v>
      </c>
      <c r="C113" s="1567" t="s">
        <v>261</v>
      </c>
      <c r="D113" s="1984"/>
      <c r="G113" s="1527"/>
      <c r="H113" s="1527"/>
      <c r="I113" s="1527"/>
    </row>
    <row r="114" spans="1:12" ht="16.5" x14ac:dyDescent="0.3">
      <c r="A114" s="43"/>
      <c r="B114" s="1526"/>
      <c r="C114" s="366"/>
      <c r="G114" s="1527"/>
      <c r="H114" s="1527"/>
      <c r="I114" s="1527"/>
    </row>
    <row r="115" spans="1:12" ht="16.5" x14ac:dyDescent="0.3">
      <c r="A115" s="43" t="s">
        <v>1077</v>
      </c>
      <c r="B115" t="s">
        <v>893</v>
      </c>
      <c r="C115" s="1567" t="str">
        <f>IF(gen_type_nr=2,"Peak Power","Rated power")</f>
        <v>Peak Power</v>
      </c>
      <c r="G115" s="1527"/>
      <c r="H115" s="1527"/>
      <c r="I115" s="1527"/>
    </row>
    <row r="116" spans="1:12" ht="16.5" x14ac:dyDescent="0.3">
      <c r="A116" s="43" t="s">
        <v>1078</v>
      </c>
      <c r="B116" s="795" t="s">
        <v>503</v>
      </c>
      <c r="C116" s="728">
        <v>1.35</v>
      </c>
      <c r="G116" s="1527"/>
      <c r="H116" s="1527"/>
      <c r="I116" s="1527"/>
    </row>
    <row r="117" spans="1:12" ht="16.5" x14ac:dyDescent="0.3">
      <c r="A117" s="43" t="s">
        <v>1079</v>
      </c>
      <c r="B117" t="s">
        <v>497</v>
      </c>
      <c r="C117" s="1567">
        <f>156+1</f>
        <v>157</v>
      </c>
      <c r="D117" s="1984" t="s">
        <v>1099</v>
      </c>
      <c r="G117" s="1527"/>
      <c r="H117" s="1527"/>
      <c r="I117" s="1527"/>
      <c r="L117" s="123"/>
    </row>
    <row r="118" spans="1:12" ht="16.5" x14ac:dyDescent="0.3">
      <c r="A118" s="43" t="s">
        <v>1080</v>
      </c>
      <c r="B118" t="s">
        <v>497</v>
      </c>
      <c r="C118" s="1567">
        <f>(113+22)/5</f>
        <v>27</v>
      </c>
      <c r="D118" s="1984"/>
      <c r="G118" s="1527"/>
      <c r="H118" s="1527"/>
      <c r="I118" s="1527"/>
      <c r="L118" s="123"/>
    </row>
    <row r="119" spans="1:12" ht="16.5" x14ac:dyDescent="0.3">
      <c r="A119" s="43" t="s">
        <v>1081</v>
      </c>
      <c r="B119" t="s">
        <v>497</v>
      </c>
      <c r="C119" s="1567" t="s">
        <v>261</v>
      </c>
      <c r="D119" s="1984"/>
      <c r="G119" s="1527"/>
      <c r="H119" s="1527"/>
      <c r="I119" s="1527"/>
      <c r="L119" s="126"/>
    </row>
    <row r="120" spans="1:12" x14ac:dyDescent="0.3">
      <c r="L120" s="126"/>
    </row>
    <row r="121" spans="1:12" ht="16.5" x14ac:dyDescent="0.3">
      <c r="A121" s="43" t="s">
        <v>1082</v>
      </c>
      <c r="B121" t="s">
        <v>893</v>
      </c>
      <c r="C121" s="1567" t="str">
        <f>IF(gen_type_nr=2,"Peak Power","Rated power")</f>
        <v>Peak Power</v>
      </c>
      <c r="L121" s="126"/>
    </row>
    <row r="122" spans="1:12" x14ac:dyDescent="0.3">
      <c r="A122" s="43" t="s">
        <v>1083</v>
      </c>
      <c r="B122" s="795" t="s">
        <v>503</v>
      </c>
      <c r="C122" s="728">
        <v>1.35</v>
      </c>
      <c r="L122" s="126"/>
    </row>
    <row r="123" spans="1:12" ht="16.5" x14ac:dyDescent="0.3">
      <c r="A123" s="43" t="s">
        <v>1084</v>
      </c>
      <c r="B123" t="s">
        <v>497</v>
      </c>
      <c r="C123" s="1567">
        <f>42+35</f>
        <v>77</v>
      </c>
      <c r="D123" s="1984" t="s">
        <v>1100</v>
      </c>
      <c r="L123" s="126"/>
    </row>
    <row r="124" spans="1:12" ht="16.5" x14ac:dyDescent="0.3">
      <c r="A124" s="43" t="s">
        <v>1085</v>
      </c>
      <c r="B124" t="s">
        <v>497</v>
      </c>
      <c r="C124" s="1567">
        <f>(80+410)/5</f>
        <v>98</v>
      </c>
      <c r="D124" s="1984"/>
      <c r="L124" s="126"/>
    </row>
    <row r="125" spans="1:12" ht="16.5" x14ac:dyDescent="0.3">
      <c r="A125" s="43" t="s">
        <v>1086</v>
      </c>
      <c r="B125" t="s">
        <v>497</v>
      </c>
      <c r="C125" s="1567" t="s">
        <v>261</v>
      </c>
      <c r="D125" s="1984"/>
    </row>
    <row r="126" spans="1:12" x14ac:dyDescent="0.3">
      <c r="A126" s="123"/>
      <c r="C126" s="119"/>
      <c r="L126" s="123"/>
    </row>
    <row r="127" spans="1:12" ht="16.5" x14ac:dyDescent="0.3">
      <c r="A127" s="43" t="s">
        <v>1087</v>
      </c>
      <c r="B127" t="s">
        <v>893</v>
      </c>
      <c r="C127" s="1567" t="str">
        <f>IF(gen_type_nr=2,"Peak Power","Rated power")</f>
        <v>Peak Power</v>
      </c>
      <c r="L127" s="123"/>
    </row>
    <row r="128" spans="1:12" x14ac:dyDescent="0.3">
      <c r="A128" s="43" t="s">
        <v>1088</v>
      </c>
      <c r="B128" s="795" t="s">
        <v>503</v>
      </c>
      <c r="C128" s="728">
        <v>1.35</v>
      </c>
      <c r="L128" s="1553"/>
    </row>
    <row r="129" spans="1:12" ht="16.5" x14ac:dyDescent="0.3">
      <c r="A129" s="43" t="s">
        <v>1089</v>
      </c>
      <c r="B129" t="s">
        <v>497</v>
      </c>
      <c r="C129" s="1567">
        <f>2+8+10</f>
        <v>20</v>
      </c>
      <c r="D129" s="1984" t="s">
        <v>1101</v>
      </c>
      <c r="L129" s="123"/>
    </row>
    <row r="130" spans="1:12" ht="16.5" x14ac:dyDescent="0.3">
      <c r="A130" s="43" t="s">
        <v>1090</v>
      </c>
      <c r="B130" t="s">
        <v>497</v>
      </c>
      <c r="C130" s="1567">
        <f>(2+9+13)/5</f>
        <v>4.8</v>
      </c>
      <c r="D130" s="1984"/>
      <c r="L130" s="123"/>
    </row>
    <row r="131" spans="1:12" ht="16.5" x14ac:dyDescent="0.3">
      <c r="A131" s="43" t="s">
        <v>1091</v>
      </c>
      <c r="B131" t="s">
        <v>497</v>
      </c>
      <c r="C131" s="1567" t="s">
        <v>261</v>
      </c>
      <c r="D131" s="1984"/>
      <c r="L131" s="123"/>
    </row>
    <row r="132" spans="1:12" ht="16.5" x14ac:dyDescent="0.3">
      <c r="A132" s="43" t="s">
        <v>1175</v>
      </c>
      <c r="B132" t="s">
        <v>415</v>
      </c>
      <c r="C132" s="1571">
        <v>0.4</v>
      </c>
      <c r="D132" s="45"/>
      <c r="L132" s="123"/>
    </row>
    <row r="133" spans="1:12" x14ac:dyDescent="0.3">
      <c r="A133" s="123"/>
      <c r="B133" s="1554"/>
      <c r="L133" s="123"/>
    </row>
    <row r="134" spans="1:12" ht="16.5" x14ac:dyDescent="0.3">
      <c r="A134" s="43" t="s">
        <v>1092</v>
      </c>
      <c r="B134" t="s">
        <v>893</v>
      </c>
      <c r="C134" s="1567" t="s">
        <v>670</v>
      </c>
    </row>
    <row r="135" spans="1:12" x14ac:dyDescent="0.3">
      <c r="A135" s="43" t="s">
        <v>1093</v>
      </c>
      <c r="B135" s="795" t="s">
        <v>535</v>
      </c>
      <c r="C135" s="728">
        <v>337.5</v>
      </c>
    </row>
    <row r="136" spans="1:12" ht="16.5" x14ac:dyDescent="0.3">
      <c r="A136" s="43" t="s">
        <v>1094</v>
      </c>
      <c r="B136" t="s">
        <v>487</v>
      </c>
      <c r="C136" s="1572">
        <f ca="1">0.0005*Tmax_t*1000+20</f>
        <v>41</v>
      </c>
      <c r="D136" s="1984" t="s">
        <v>1102</v>
      </c>
      <c r="E136" s="25" t="s">
        <v>1097</v>
      </c>
    </row>
    <row r="137" spans="1:12" ht="16.5" x14ac:dyDescent="0.3">
      <c r="A137" s="43" t="s">
        <v>1095</v>
      </c>
      <c r="B137" t="s">
        <v>487</v>
      </c>
      <c r="C137" s="1572">
        <f ca="1">0.0005*Tmax_t*1000+20</f>
        <v>41</v>
      </c>
      <c r="D137" s="1984"/>
      <c r="E137" s="25" t="s">
        <v>1097</v>
      </c>
    </row>
    <row r="138" spans="1:12" ht="16.5" x14ac:dyDescent="0.3">
      <c r="A138" s="43" t="s">
        <v>1096</v>
      </c>
      <c r="B138" t="s">
        <v>487</v>
      </c>
      <c r="C138" s="1567" t="s">
        <v>261</v>
      </c>
      <c r="D138" s="1984"/>
    </row>
    <row r="139" spans="1:12" x14ac:dyDescent="0.3">
      <c r="A139" s="43" t="s">
        <v>1110</v>
      </c>
      <c r="B139" t="s">
        <v>487</v>
      </c>
      <c r="C139" s="728">
        <v>0.5</v>
      </c>
    </row>
    <row r="140" spans="1:12" x14ac:dyDescent="0.3">
      <c r="A140" s="43"/>
    </row>
    <row r="141" spans="1:12" x14ac:dyDescent="0.3">
      <c r="A141" s="123"/>
      <c r="C141" s="1554"/>
    </row>
    <row r="142" spans="1:12" x14ac:dyDescent="0.3">
      <c r="A142" s="1586" t="s">
        <v>1128</v>
      </c>
      <c r="B142" s="90" t="s">
        <v>892</v>
      </c>
      <c r="C142" s="90" t="s">
        <v>282</v>
      </c>
      <c r="D142" s="90" t="s">
        <v>288</v>
      </c>
      <c r="E142" s="90" t="s">
        <v>1069</v>
      </c>
    </row>
    <row r="143" spans="1:12" ht="16.5" x14ac:dyDescent="0.3">
      <c r="A143" s="123" t="s">
        <v>1103</v>
      </c>
      <c r="B143" s="1554" t="s">
        <v>893</v>
      </c>
      <c r="C143" s="1567" t="s">
        <v>517</v>
      </c>
    </row>
    <row r="144" spans="1:12" ht="16.5" x14ac:dyDescent="0.3">
      <c r="A144" s="123" t="s">
        <v>1104</v>
      </c>
      <c r="B144" s="1554" t="s">
        <v>173</v>
      </c>
      <c r="C144" s="1567">
        <v>0</v>
      </c>
    </row>
    <row r="145" spans="1:5" ht="16.5" x14ac:dyDescent="0.3">
      <c r="A145" s="123" t="s">
        <v>1105</v>
      </c>
      <c r="B145" s="1554" t="s">
        <v>486</v>
      </c>
      <c r="C145" s="1567">
        <v>0</v>
      </c>
    </row>
    <row r="146" spans="1:5" ht="16.5" x14ac:dyDescent="0.3">
      <c r="A146" s="123" t="s">
        <v>1176</v>
      </c>
      <c r="B146" s="1554" t="s">
        <v>305</v>
      </c>
      <c r="C146" s="1567">
        <v>20</v>
      </c>
    </row>
    <row r="147" spans="1:5" ht="16.5" x14ac:dyDescent="0.3">
      <c r="A147" s="123" t="s">
        <v>1177</v>
      </c>
      <c r="B147" s="1554" t="s">
        <v>415</v>
      </c>
      <c r="C147" s="1571">
        <v>0.4</v>
      </c>
    </row>
    <row r="148" spans="1:5" x14ac:dyDescent="0.3">
      <c r="A148" s="123"/>
      <c r="B148" s="1554"/>
    </row>
    <row r="149" spans="1:5" ht="16.5" x14ac:dyDescent="0.3">
      <c r="A149" s="123" t="s">
        <v>1106</v>
      </c>
      <c r="B149" s="1554" t="s">
        <v>893</v>
      </c>
      <c r="C149" s="1567" t="s">
        <v>517</v>
      </c>
    </row>
    <row r="150" spans="1:5" x14ac:dyDescent="0.3">
      <c r="A150" s="123" t="s">
        <v>1107</v>
      </c>
      <c r="B150" s="1554" t="s">
        <v>173</v>
      </c>
      <c r="C150" s="728">
        <v>2923.7145918955998</v>
      </c>
    </row>
    <row r="151" spans="1:5" x14ac:dyDescent="0.3">
      <c r="A151" s="123" t="s">
        <v>1108</v>
      </c>
      <c r="B151" s="1554" t="s">
        <v>486</v>
      </c>
      <c r="C151" s="728">
        <f>20/1000*1.5</f>
        <v>0.03</v>
      </c>
    </row>
    <row r="152" spans="1:5" x14ac:dyDescent="0.3">
      <c r="A152" s="123" t="s">
        <v>1178</v>
      </c>
      <c r="B152" s="1554" t="s">
        <v>415</v>
      </c>
      <c r="C152" s="125">
        <v>0.65</v>
      </c>
    </row>
    <row r="153" spans="1:5" x14ac:dyDescent="0.3">
      <c r="A153" s="123"/>
    </row>
    <row r="154" spans="1:5" ht="16.5" x14ac:dyDescent="0.3">
      <c r="A154" s="123" t="s">
        <v>1092</v>
      </c>
      <c r="B154" s="1554" t="s">
        <v>893</v>
      </c>
      <c r="C154" s="1567" t="s">
        <v>517</v>
      </c>
    </row>
    <row r="155" spans="1:5" x14ac:dyDescent="0.3">
      <c r="A155" s="123" t="s">
        <v>1093</v>
      </c>
      <c r="B155" s="1554" t="s">
        <v>173</v>
      </c>
      <c r="C155" s="728">
        <v>3923.7145918955998</v>
      </c>
    </row>
    <row r="156" spans="1:5" x14ac:dyDescent="0.3">
      <c r="A156" s="123" t="s">
        <v>1109</v>
      </c>
      <c r="B156" s="1554" t="s">
        <v>486</v>
      </c>
      <c r="C156" s="728">
        <f>15*0.004*1.2</f>
        <v>7.1999999999999995E-2</v>
      </c>
    </row>
    <row r="158" spans="1:5" x14ac:dyDescent="0.3">
      <c r="A158" s="1586" t="s">
        <v>1179</v>
      </c>
      <c r="B158" s="90" t="s">
        <v>892</v>
      </c>
      <c r="C158" s="90" t="s">
        <v>282</v>
      </c>
      <c r="D158" s="90" t="s">
        <v>288</v>
      </c>
      <c r="E158" s="90" t="s">
        <v>1069</v>
      </c>
    </row>
    <row r="159" spans="1:5" x14ac:dyDescent="0.3">
      <c r="A159" s="1588" t="s">
        <v>1181</v>
      </c>
      <c r="B159" s="1587" t="s">
        <v>892</v>
      </c>
      <c r="C159" s="1587" t="s">
        <v>282</v>
      </c>
      <c r="D159" s="1587" t="s">
        <v>288</v>
      </c>
      <c r="E159" s="1587" t="s">
        <v>1069</v>
      </c>
    </row>
    <row r="160" spans="1:5" x14ac:dyDescent="0.3">
      <c r="A160" s="43" t="s">
        <v>1245</v>
      </c>
      <c r="B160" t="s">
        <v>893</v>
      </c>
      <c r="C160" s="119" t="s">
        <v>523</v>
      </c>
    </row>
    <row r="161" spans="1:19" x14ac:dyDescent="0.3">
      <c r="A161" s="43" t="s">
        <v>1244</v>
      </c>
      <c r="B161" t="s">
        <v>519</v>
      </c>
      <c r="C161" s="127">
        <v>11.923711750577475</v>
      </c>
    </row>
    <row r="162" spans="1:19" x14ac:dyDescent="0.3">
      <c r="A162" s="43" t="s">
        <v>1202</v>
      </c>
      <c r="C162" s="381">
        <v>0.47574149237192276</v>
      </c>
    </row>
    <row r="163" spans="1:19" x14ac:dyDescent="0.3">
      <c r="A163" s="43" t="s">
        <v>1183</v>
      </c>
      <c r="B163" s="119" t="s">
        <v>521</v>
      </c>
      <c r="C163" s="127">
        <f>greenfield*10</f>
        <v>10</v>
      </c>
    </row>
    <row r="164" spans="1:19" x14ac:dyDescent="0.3">
      <c r="A164" s="126"/>
      <c r="I164" s="123"/>
      <c r="J164" s="119"/>
      <c r="K164" s="119"/>
      <c r="L164" s="119"/>
      <c r="M164" s="119"/>
      <c r="N164" s="119"/>
      <c r="O164" s="714"/>
      <c r="P164" s="102"/>
      <c r="Q164" s="870"/>
      <c r="R164" s="119"/>
      <c r="S164" s="102"/>
    </row>
    <row r="165" spans="1:19" x14ac:dyDescent="0.3">
      <c r="A165" s="123" t="s">
        <v>1246</v>
      </c>
      <c r="B165" t="s">
        <v>893</v>
      </c>
      <c r="C165" s="119" t="s">
        <v>502</v>
      </c>
      <c r="I165" s="123"/>
      <c r="J165" s="119"/>
      <c r="K165" s="119"/>
      <c r="L165" s="119"/>
      <c r="M165" s="119"/>
      <c r="N165" s="119"/>
      <c r="O165" s="119"/>
      <c r="P165" s="102"/>
      <c r="Q165" s="369"/>
      <c r="R165" s="119"/>
      <c r="S165" s="102"/>
    </row>
    <row r="166" spans="1:19" x14ac:dyDescent="0.3">
      <c r="A166" s="43" t="s">
        <v>1247</v>
      </c>
      <c r="B166" t="s">
        <v>503</v>
      </c>
      <c r="C166" s="127">
        <v>40.5</v>
      </c>
      <c r="I166" s="123"/>
      <c r="J166" s="119"/>
      <c r="K166" s="119"/>
      <c r="L166" s="119"/>
      <c r="M166" s="119"/>
      <c r="N166" s="119"/>
      <c r="O166" s="714"/>
      <c r="P166" s="102"/>
      <c r="Q166" s="369"/>
      <c r="R166" s="119"/>
      <c r="S166" s="102"/>
    </row>
    <row r="167" spans="1:19" x14ac:dyDescent="0.3">
      <c r="A167" s="43" t="s">
        <v>1209</v>
      </c>
      <c r="C167" s="381">
        <v>0.57840701282046381</v>
      </c>
      <c r="I167" s="123"/>
      <c r="K167" s="119"/>
      <c r="L167" s="119"/>
      <c r="M167" s="119"/>
      <c r="N167" s="119"/>
      <c r="O167" s="119"/>
      <c r="P167" s="102"/>
      <c r="Q167" s="369"/>
      <c r="R167" s="119"/>
      <c r="S167" s="102"/>
    </row>
    <row r="168" spans="1:19" x14ac:dyDescent="0.3">
      <c r="A168" s="43" t="s">
        <v>1184</v>
      </c>
      <c r="B168" s="119" t="s">
        <v>497</v>
      </c>
      <c r="C168" s="127">
        <f>greenfield*40</f>
        <v>40</v>
      </c>
      <c r="I168" s="123"/>
      <c r="K168" s="119"/>
      <c r="L168" s="119"/>
      <c r="M168" s="119"/>
      <c r="N168" s="119"/>
      <c r="O168" s="714"/>
      <c r="P168" s="102"/>
      <c r="Q168" s="870"/>
      <c r="R168" s="119"/>
      <c r="S168" s="102"/>
    </row>
    <row r="169" spans="1:19" x14ac:dyDescent="0.3">
      <c r="A169" s="43"/>
      <c r="I169" s="123"/>
      <c r="K169" s="119"/>
      <c r="L169" s="119"/>
      <c r="M169" s="119"/>
      <c r="N169" s="119"/>
      <c r="O169" s="714"/>
      <c r="P169" s="102"/>
      <c r="Q169" s="870"/>
      <c r="R169" s="119"/>
      <c r="S169" s="102"/>
    </row>
    <row r="170" spans="1:19" x14ac:dyDescent="0.3">
      <c r="A170" s="43" t="s">
        <v>1248</v>
      </c>
      <c r="B170" t="s">
        <v>893</v>
      </c>
      <c r="C170" s="119" t="s">
        <v>502</v>
      </c>
    </row>
    <row r="171" spans="1:19" x14ac:dyDescent="0.3">
      <c r="A171" s="43" t="s">
        <v>1249</v>
      </c>
      <c r="B171" t="s">
        <v>503</v>
      </c>
      <c r="C171" s="127">
        <v>40.5</v>
      </c>
    </row>
    <row r="172" spans="1:19" x14ac:dyDescent="0.3">
      <c r="A172" s="43" t="s">
        <v>1185</v>
      </c>
      <c r="B172" s="119" t="s">
        <v>497</v>
      </c>
      <c r="C172" s="127">
        <f>greenfield*10</f>
        <v>10</v>
      </c>
    </row>
    <row r="173" spans="1:19" x14ac:dyDescent="0.3">
      <c r="A173" s="43"/>
    </row>
    <row r="174" spans="1:19" x14ac:dyDescent="0.3">
      <c r="A174" s="43" t="s">
        <v>1250</v>
      </c>
      <c r="B174" t="s">
        <v>893</v>
      </c>
      <c r="C174" s="119" t="s">
        <v>526</v>
      </c>
    </row>
    <row r="175" spans="1:19" x14ac:dyDescent="0.3">
      <c r="A175" s="43" t="s">
        <v>1251</v>
      </c>
      <c r="B175" t="s">
        <v>599</v>
      </c>
      <c r="C175" s="127">
        <v>8.8859313694287092</v>
      </c>
    </row>
    <row r="176" spans="1:19" x14ac:dyDescent="0.3">
      <c r="A176" s="43" t="s">
        <v>1207</v>
      </c>
      <c r="C176" s="381">
        <v>0.17818811423027156</v>
      </c>
    </row>
    <row r="177" spans="1:34" x14ac:dyDescent="0.3">
      <c r="A177" s="43" t="s">
        <v>1187</v>
      </c>
      <c r="B177" s="119" t="s">
        <v>520</v>
      </c>
      <c r="C177" s="127">
        <f>greenfield*10</f>
        <v>10</v>
      </c>
    </row>
    <row r="178" spans="1:34" x14ac:dyDescent="0.3">
      <c r="A178" s="43"/>
    </row>
    <row r="179" spans="1:34" x14ac:dyDescent="0.3">
      <c r="A179" s="43" t="s">
        <v>1252</v>
      </c>
      <c r="B179" t="s">
        <v>893</v>
      </c>
      <c r="C179" s="119" t="s">
        <v>522</v>
      </c>
    </row>
    <row r="180" spans="1:34" x14ac:dyDescent="0.3">
      <c r="A180" s="43" t="s">
        <v>1253</v>
      </c>
      <c r="B180" t="s">
        <v>666</v>
      </c>
      <c r="C180" s="127">
        <v>30</v>
      </c>
    </row>
    <row r="181" spans="1:34" x14ac:dyDescent="0.3">
      <c r="A181" s="43" t="s">
        <v>1206</v>
      </c>
      <c r="C181" s="381">
        <v>0.47574149237192276</v>
      </c>
    </row>
    <row r="182" spans="1:34" x14ac:dyDescent="0.3">
      <c r="A182" s="43" t="s">
        <v>1188</v>
      </c>
      <c r="B182" s="119" t="s">
        <v>525</v>
      </c>
      <c r="C182" s="127">
        <v>50</v>
      </c>
    </row>
    <row r="183" spans="1:34" x14ac:dyDescent="0.3">
      <c r="A183" s="43"/>
    </row>
    <row r="184" spans="1:34" x14ac:dyDescent="0.3">
      <c r="A184" s="43" t="s">
        <v>1254</v>
      </c>
      <c r="B184" t="s">
        <v>893</v>
      </c>
      <c r="C184" s="119" t="s">
        <v>938</v>
      </c>
      <c r="J184" s="102"/>
      <c r="K184" s="119"/>
      <c r="L184" s="119"/>
      <c r="M184" s="1558"/>
      <c r="N184" s="1554"/>
      <c r="O184" s="1554"/>
      <c r="P184" s="1558"/>
      <c r="Q184" s="119"/>
      <c r="R184" s="1554"/>
      <c r="S184" s="1554"/>
      <c r="T184" s="1558"/>
      <c r="U184" s="34"/>
      <c r="V184" s="1554"/>
      <c r="W184" s="1554"/>
      <c r="X184" s="1554"/>
      <c r="Y184" s="1554"/>
      <c r="Z184" s="1554"/>
      <c r="AA184" s="1554"/>
      <c r="AB184" s="34"/>
      <c r="AC184" s="1554"/>
      <c r="AD184" s="1554"/>
      <c r="AE184" s="1554"/>
      <c r="AF184" s="1554"/>
      <c r="AG184" s="119"/>
      <c r="AH184" s="119"/>
    </row>
    <row r="185" spans="1:34" x14ac:dyDescent="0.3">
      <c r="A185" s="43" t="s">
        <v>1255</v>
      </c>
      <c r="B185" t="s">
        <v>519</v>
      </c>
      <c r="C185" s="127">
        <v>14.603504814471389</v>
      </c>
      <c r="J185" s="102"/>
      <c r="K185" s="119"/>
      <c r="L185" s="119"/>
      <c r="M185" s="102"/>
      <c r="N185" s="119"/>
      <c r="O185" s="119"/>
      <c r="P185" s="119"/>
      <c r="Q185" s="119"/>
      <c r="R185" s="119"/>
      <c r="S185" s="119"/>
      <c r="T185" s="119"/>
      <c r="U185" s="820"/>
      <c r="V185" s="119"/>
      <c r="W185" s="119"/>
      <c r="X185" s="119"/>
      <c r="Y185" s="119"/>
      <c r="Z185" s="83"/>
      <c r="AA185" s="119"/>
      <c r="AB185" s="820"/>
      <c r="AC185" s="119"/>
      <c r="AD185" s="119"/>
      <c r="AE185" s="119"/>
      <c r="AF185" s="119"/>
      <c r="AG185" s="119"/>
      <c r="AH185" s="119"/>
    </row>
    <row r="186" spans="1:34" x14ac:dyDescent="0.3">
      <c r="A186" s="43" t="s">
        <v>1205</v>
      </c>
      <c r="C186" s="381">
        <v>0.47574149237192276</v>
      </c>
      <c r="J186" s="123"/>
      <c r="K186" s="119"/>
      <c r="L186" s="119"/>
      <c r="M186" s="1559"/>
      <c r="N186" s="102"/>
      <c r="O186" s="102"/>
      <c r="P186" s="102"/>
      <c r="Q186" s="102"/>
      <c r="R186" s="102"/>
      <c r="S186" s="102"/>
      <c r="T186" s="102"/>
      <c r="U186" s="820"/>
      <c r="V186" s="119"/>
      <c r="W186" s="119"/>
      <c r="X186" s="102"/>
      <c r="Y186" s="369"/>
      <c r="Z186" s="83"/>
      <c r="AA186" s="710"/>
      <c r="AB186" s="820"/>
      <c r="AC186" s="119"/>
      <c r="AD186" s="710"/>
      <c r="AE186" s="119"/>
      <c r="AF186" s="119"/>
      <c r="AG186" s="378"/>
      <c r="AH186" s="710"/>
    </row>
    <row r="187" spans="1:34" x14ac:dyDescent="0.3">
      <c r="A187" s="43" t="s">
        <v>1190</v>
      </c>
      <c r="B187" s="119" t="s">
        <v>521</v>
      </c>
      <c r="C187" s="127">
        <v>100</v>
      </c>
      <c r="J187" s="123"/>
      <c r="K187" s="119"/>
      <c r="L187" s="119"/>
      <c r="M187" s="102"/>
      <c r="N187" s="102"/>
      <c r="O187" s="102"/>
      <c r="P187" s="102"/>
      <c r="Q187" s="102"/>
      <c r="R187" s="102"/>
      <c r="S187" s="102"/>
      <c r="T187" s="102"/>
      <c r="U187" s="820"/>
      <c r="V187" s="119"/>
      <c r="W187" s="119"/>
      <c r="X187" s="102"/>
      <c r="Y187" s="369"/>
      <c r="Z187" s="83"/>
      <c r="AA187" s="710"/>
      <c r="AB187" s="820"/>
      <c r="AC187" s="119"/>
      <c r="AD187" s="710"/>
      <c r="AE187" s="119"/>
      <c r="AF187" s="714"/>
      <c r="AG187" s="369"/>
      <c r="AH187" s="710"/>
    </row>
    <row r="188" spans="1:34" x14ac:dyDescent="0.3">
      <c r="A188" s="43"/>
      <c r="J188" s="123"/>
      <c r="K188" s="119"/>
      <c r="L188" s="119"/>
      <c r="M188" s="102"/>
      <c r="N188" s="102"/>
      <c r="O188" s="102"/>
      <c r="P188" s="102"/>
      <c r="Q188" s="102"/>
      <c r="R188" s="102"/>
      <c r="S188" s="102"/>
      <c r="T188" s="102"/>
      <c r="U188" s="820"/>
      <c r="V188" s="119"/>
      <c r="W188" s="714"/>
      <c r="X188" s="102"/>
      <c r="Y188" s="369"/>
      <c r="Z188" s="83"/>
      <c r="AA188" s="1580"/>
      <c r="AB188" s="820"/>
      <c r="AC188" s="119"/>
      <c r="AD188" s="710"/>
      <c r="AE188" s="119"/>
      <c r="AF188" s="714"/>
      <c r="AG188" s="378"/>
      <c r="AH188" s="710"/>
    </row>
    <row r="189" spans="1:34" x14ac:dyDescent="0.3">
      <c r="A189" s="43" t="s">
        <v>1256</v>
      </c>
      <c r="B189" t="s">
        <v>893</v>
      </c>
      <c r="C189" s="119" t="s">
        <v>522</v>
      </c>
      <c r="J189" s="123"/>
      <c r="K189" s="119"/>
      <c r="L189" s="119"/>
      <c r="M189" s="102"/>
      <c r="N189" s="102"/>
      <c r="O189" s="102"/>
      <c r="P189" s="102"/>
      <c r="Q189" s="102"/>
      <c r="R189" s="102"/>
      <c r="S189" s="102"/>
      <c r="T189" s="102"/>
      <c r="U189" s="820"/>
      <c r="V189" s="119"/>
      <c r="W189" s="119"/>
      <c r="X189" s="102"/>
      <c r="Y189" s="369"/>
      <c r="Z189" s="83"/>
      <c r="AA189" s="710"/>
      <c r="AB189" s="820"/>
      <c r="AC189" s="119"/>
      <c r="AD189" s="710"/>
      <c r="AE189" s="119"/>
      <c r="AF189" s="714"/>
      <c r="AG189" s="378"/>
      <c r="AH189" s="710"/>
    </row>
    <row r="190" spans="1:34" x14ac:dyDescent="0.3">
      <c r="A190" s="43" t="s">
        <v>1257</v>
      </c>
      <c r="B190" t="s">
        <v>666</v>
      </c>
      <c r="C190" s="127">
        <v>30</v>
      </c>
      <c r="J190" s="123"/>
      <c r="K190" s="119"/>
      <c r="L190" s="119"/>
      <c r="M190" s="102"/>
      <c r="N190" s="102"/>
      <c r="O190" s="102"/>
      <c r="P190" s="102"/>
      <c r="Q190" s="102"/>
      <c r="R190" s="102"/>
      <c r="S190" s="102"/>
      <c r="T190" s="102"/>
      <c r="U190" s="820"/>
      <c r="V190" s="119"/>
      <c r="W190" s="714"/>
      <c r="X190" s="102"/>
      <c r="Y190" s="369"/>
      <c r="Z190" s="83"/>
      <c r="AA190" s="710"/>
      <c r="AB190" s="820"/>
      <c r="AC190" s="119"/>
      <c r="AD190" s="710"/>
      <c r="AE190" s="119"/>
      <c r="AF190" s="714"/>
      <c r="AG190" s="378"/>
      <c r="AH190" s="710"/>
    </row>
    <row r="191" spans="1:34" x14ac:dyDescent="0.3">
      <c r="A191" s="43" t="s">
        <v>1194</v>
      </c>
      <c r="B191" s="119" t="s">
        <v>525</v>
      </c>
      <c r="C191" s="127">
        <v>15</v>
      </c>
      <c r="J191" s="123"/>
      <c r="K191" s="119"/>
      <c r="L191" s="119"/>
      <c r="M191" s="102"/>
      <c r="N191" s="102"/>
      <c r="O191" s="102"/>
      <c r="P191" s="102"/>
      <c r="Q191" s="102"/>
      <c r="R191" s="102"/>
      <c r="S191" s="102"/>
      <c r="T191" s="102"/>
      <c r="U191" s="820"/>
      <c r="V191" s="119"/>
      <c r="W191" s="119"/>
      <c r="X191" s="102"/>
      <c r="Y191" s="119"/>
      <c r="Z191" s="119"/>
      <c r="AA191" s="119"/>
      <c r="AB191" s="820"/>
      <c r="AC191" s="119"/>
      <c r="AD191" s="841"/>
      <c r="AE191" s="119"/>
      <c r="AF191" s="714"/>
      <c r="AG191" s="369"/>
      <c r="AH191" s="710"/>
    </row>
    <row r="192" spans="1:34" x14ac:dyDescent="0.3">
      <c r="A192" s="43"/>
      <c r="J192" s="123"/>
      <c r="K192" s="119"/>
      <c r="L192" s="119"/>
      <c r="M192" s="102"/>
      <c r="N192" s="102"/>
      <c r="O192" s="102"/>
      <c r="P192" s="102"/>
      <c r="Q192" s="102"/>
      <c r="R192" s="102"/>
      <c r="S192" s="102"/>
      <c r="T192" s="102"/>
      <c r="U192" s="820"/>
      <c r="V192" s="119"/>
      <c r="W192" s="714"/>
      <c r="X192" s="102"/>
      <c r="Y192" s="369"/>
      <c r="Z192" s="83"/>
      <c r="AA192" s="710"/>
      <c r="AB192" s="820"/>
      <c r="AC192" s="119"/>
      <c r="AD192" s="710"/>
      <c r="AE192" s="119"/>
      <c r="AF192" s="714"/>
      <c r="AG192" s="369"/>
      <c r="AH192" s="710"/>
    </row>
    <row r="193" spans="1:34" x14ac:dyDescent="0.3">
      <c r="A193" s="43" t="s">
        <v>1196</v>
      </c>
      <c r="B193" t="s">
        <v>305</v>
      </c>
      <c r="C193" s="127">
        <v>300</v>
      </c>
      <c r="J193" s="123"/>
      <c r="K193" s="119"/>
      <c r="L193" s="119"/>
      <c r="M193" s="102"/>
      <c r="N193" s="102"/>
      <c r="O193" s="102"/>
      <c r="P193" s="102"/>
      <c r="Q193" s="102"/>
      <c r="R193" s="102"/>
      <c r="S193" s="102"/>
      <c r="T193" s="102"/>
      <c r="U193" s="820"/>
      <c r="V193" s="119"/>
      <c r="W193" s="714"/>
      <c r="X193" s="102"/>
      <c r="Y193" s="378"/>
      <c r="Z193" s="714"/>
      <c r="AA193" s="710"/>
      <c r="AB193" s="820"/>
      <c r="AC193" s="119"/>
      <c r="AD193" s="710"/>
      <c r="AE193" s="119"/>
      <c r="AF193" s="714"/>
      <c r="AG193" s="378"/>
      <c r="AH193" s="710"/>
    </row>
    <row r="194" spans="1:34" x14ac:dyDescent="0.3">
      <c r="A194" s="43" t="s">
        <v>1197</v>
      </c>
      <c r="B194" t="s">
        <v>415</v>
      </c>
      <c r="C194" s="381">
        <v>0.5</v>
      </c>
      <c r="J194" s="123"/>
      <c r="K194" s="119"/>
      <c r="L194" s="119"/>
      <c r="M194" s="102"/>
      <c r="N194" s="1581"/>
      <c r="O194" s="1582"/>
      <c r="P194" s="102"/>
      <c r="Q194" s="196"/>
      <c r="R194" s="1583"/>
      <c r="S194" s="1583"/>
      <c r="T194" s="102"/>
      <c r="U194" s="820"/>
      <c r="V194" s="119"/>
      <c r="W194" s="714"/>
      <c r="X194" s="102"/>
      <c r="Y194" s="378"/>
      <c r="Z194" s="708"/>
      <c r="AA194" s="710"/>
      <c r="AB194" s="820"/>
      <c r="AC194" s="119"/>
      <c r="AD194" s="710"/>
      <c r="AE194" s="119"/>
      <c r="AF194" s="714"/>
      <c r="AG194" s="378"/>
      <c r="AH194" s="710"/>
    </row>
    <row r="195" spans="1:34" x14ac:dyDescent="0.3">
      <c r="A195" s="43"/>
      <c r="J195" s="123"/>
      <c r="K195" s="119"/>
      <c r="L195" s="119"/>
      <c r="M195" s="102"/>
      <c r="N195" s="1581"/>
      <c r="O195" s="1582"/>
      <c r="P195" s="102"/>
      <c r="Q195" s="196"/>
      <c r="R195" s="1583"/>
      <c r="S195" s="1583"/>
      <c r="T195" s="102"/>
      <c r="U195" s="820"/>
      <c r="V195" s="119"/>
      <c r="W195" s="714"/>
      <c r="X195" s="102"/>
      <c r="Y195" s="378"/>
      <c r="Z195" s="708"/>
      <c r="AA195" s="710"/>
      <c r="AB195" s="820"/>
      <c r="AC195" s="119"/>
      <c r="AD195" s="710"/>
      <c r="AE195" s="119"/>
      <c r="AF195" s="714"/>
      <c r="AG195" s="378"/>
      <c r="AH195" s="710"/>
    </row>
    <row r="196" spans="1:34" x14ac:dyDescent="0.3">
      <c r="A196" s="43" t="s">
        <v>1258</v>
      </c>
      <c r="B196" t="s">
        <v>893</v>
      </c>
      <c r="C196" s="119" t="s">
        <v>522</v>
      </c>
      <c r="J196" s="123"/>
      <c r="K196" s="119"/>
      <c r="L196" s="119"/>
      <c r="M196" s="102"/>
      <c r="N196" s="1581"/>
      <c r="O196" s="1582"/>
      <c r="P196" s="102"/>
      <c r="Q196" s="196"/>
      <c r="R196" s="1583"/>
      <c r="S196" s="1583"/>
      <c r="T196" s="102"/>
      <c r="U196" s="820"/>
      <c r="V196" s="119"/>
      <c r="W196" s="714"/>
      <c r="X196" s="102"/>
      <c r="Y196" s="378"/>
      <c r="Z196" s="708"/>
      <c r="AA196" s="710"/>
      <c r="AB196" s="820"/>
      <c r="AC196" s="119"/>
      <c r="AD196" s="710"/>
      <c r="AE196" s="119"/>
      <c r="AF196" s="714"/>
      <c r="AG196" s="378"/>
      <c r="AH196" s="710"/>
    </row>
    <row r="197" spans="1:34" x14ac:dyDescent="0.3">
      <c r="A197" s="43" t="s">
        <v>1259</v>
      </c>
      <c r="B197" t="s">
        <v>666</v>
      </c>
      <c r="C197" s="127">
        <v>30</v>
      </c>
    </row>
    <row r="198" spans="1:34" x14ac:dyDescent="0.3">
      <c r="A198" s="43" t="s">
        <v>1198</v>
      </c>
      <c r="B198" s="119" t="s">
        <v>525</v>
      </c>
      <c r="C198" s="127">
        <v>5</v>
      </c>
    </row>
    <row r="199" spans="1:34" x14ac:dyDescent="0.3">
      <c r="A199" s="43" t="s">
        <v>1199</v>
      </c>
      <c r="B199" t="s">
        <v>415</v>
      </c>
      <c r="C199" s="381">
        <v>0.5</v>
      </c>
      <c r="K199" s="1558"/>
      <c r="L199" s="1554"/>
      <c r="M199" s="1554"/>
      <c r="N199" s="1558"/>
      <c r="O199" s="119"/>
      <c r="P199" s="1554"/>
      <c r="Q199" s="1554"/>
      <c r="R199" s="1558"/>
      <c r="S199" s="34"/>
      <c r="T199" s="1554"/>
    </row>
    <row r="200" spans="1:34" x14ac:dyDescent="0.3">
      <c r="A200" s="43"/>
    </row>
    <row r="201" spans="1:34" x14ac:dyDescent="0.3">
      <c r="A201" s="43" t="s">
        <v>1200</v>
      </c>
      <c r="B201" t="s">
        <v>893</v>
      </c>
      <c r="C201" s="119" t="s">
        <v>502</v>
      </c>
      <c r="H201" s="123"/>
      <c r="I201" s="119"/>
      <c r="J201" s="119"/>
      <c r="K201" s="820"/>
      <c r="L201" s="119"/>
      <c r="M201" s="714"/>
      <c r="N201" s="102"/>
      <c r="O201" s="870"/>
      <c r="P201" s="119"/>
      <c r="Q201" s="710"/>
      <c r="R201" s="820"/>
      <c r="S201" s="820"/>
      <c r="T201" s="119"/>
    </row>
    <row r="202" spans="1:34" x14ac:dyDescent="0.3">
      <c r="A202" s="43" t="s">
        <v>1201</v>
      </c>
      <c r="B202" t="s">
        <v>503</v>
      </c>
      <c r="C202" s="127">
        <v>40.5</v>
      </c>
      <c r="H202" s="123"/>
      <c r="I202" s="119"/>
    </row>
    <row r="203" spans="1:34" x14ac:dyDescent="0.3">
      <c r="A203" s="43"/>
    </row>
    <row r="204" spans="1:34" x14ac:dyDescent="0.3">
      <c r="A204" s="43" t="s">
        <v>1210</v>
      </c>
      <c r="B204" t="s">
        <v>893</v>
      </c>
      <c r="C204" s="119" t="s">
        <v>670</v>
      </c>
    </row>
    <row r="205" spans="1:34" x14ac:dyDescent="0.3">
      <c r="A205" s="43" t="s">
        <v>1211</v>
      </c>
      <c r="B205" s="119" t="s">
        <v>535</v>
      </c>
      <c r="C205" s="127">
        <v>337.5</v>
      </c>
    </row>
    <row r="206" spans="1:34" x14ac:dyDescent="0.3">
      <c r="A206" s="43" t="s">
        <v>1261</v>
      </c>
      <c r="C206" s="127">
        <v>27</v>
      </c>
    </row>
    <row r="207" spans="1:34" x14ac:dyDescent="0.3">
      <c r="A207" s="43" t="s">
        <v>1217</v>
      </c>
      <c r="B207" t="s">
        <v>893</v>
      </c>
      <c r="C207" s="119" t="s">
        <v>670</v>
      </c>
    </row>
    <row r="208" spans="1:34" x14ac:dyDescent="0.3">
      <c r="A208" s="43" t="s">
        <v>1260</v>
      </c>
      <c r="B208" s="119" t="s">
        <v>666</v>
      </c>
      <c r="C208" s="127">
        <v>30</v>
      </c>
    </row>
    <row r="209" spans="1:5" x14ac:dyDescent="0.3">
      <c r="A209" s="43"/>
    </row>
    <row r="210" spans="1:5" x14ac:dyDescent="0.3">
      <c r="A210" s="43" t="s">
        <v>1212</v>
      </c>
      <c r="B210" t="s">
        <v>893</v>
      </c>
      <c r="C210" s="119" t="s">
        <v>676</v>
      </c>
    </row>
    <row r="211" spans="1:5" x14ac:dyDescent="0.3">
      <c r="A211" s="43" t="s">
        <v>1213</v>
      </c>
      <c r="B211" s="119" t="s">
        <v>535</v>
      </c>
      <c r="C211" s="127">
        <v>2806.6413579262262</v>
      </c>
    </row>
    <row r="212" spans="1:5" x14ac:dyDescent="0.3">
      <c r="A212" s="43" t="s">
        <v>1262</v>
      </c>
      <c r="C212" s="127">
        <v>2.2453130863409809</v>
      </c>
    </row>
    <row r="213" spans="1:5" x14ac:dyDescent="0.3">
      <c r="A213" s="43" t="s">
        <v>1218</v>
      </c>
      <c r="B213" t="s">
        <v>893</v>
      </c>
      <c r="C213" s="119" t="s">
        <v>676</v>
      </c>
    </row>
    <row r="214" spans="1:5" x14ac:dyDescent="0.3">
      <c r="A214" s="43" t="s">
        <v>1263</v>
      </c>
      <c r="B214" s="119" t="s">
        <v>666</v>
      </c>
      <c r="C214" s="127">
        <v>30</v>
      </c>
    </row>
    <row r="215" spans="1:5" x14ac:dyDescent="0.3">
      <c r="A215" s="43"/>
    </row>
    <row r="216" spans="1:5" x14ac:dyDescent="0.3">
      <c r="A216" s="43" t="s">
        <v>1214</v>
      </c>
      <c r="B216" t="s">
        <v>893</v>
      </c>
      <c r="C216" s="119" t="s">
        <v>670</v>
      </c>
    </row>
    <row r="217" spans="1:5" x14ac:dyDescent="0.3">
      <c r="A217" s="43" t="s">
        <v>1215</v>
      </c>
      <c r="B217" s="119" t="s">
        <v>535</v>
      </c>
      <c r="C217" s="127">
        <v>337.5</v>
      </c>
    </row>
    <row r="218" spans="1:5" x14ac:dyDescent="0.3">
      <c r="A218" s="43" t="s">
        <v>1264</v>
      </c>
      <c r="C218" s="127">
        <v>27</v>
      </c>
    </row>
    <row r="219" spans="1:5" x14ac:dyDescent="0.3">
      <c r="A219" s="43" t="s">
        <v>1219</v>
      </c>
      <c r="B219" t="s">
        <v>893</v>
      </c>
      <c r="C219" s="119" t="s">
        <v>670</v>
      </c>
    </row>
    <row r="220" spans="1:5" x14ac:dyDescent="0.3">
      <c r="A220" s="43" t="s">
        <v>1265</v>
      </c>
      <c r="B220" s="119" t="s">
        <v>666</v>
      </c>
      <c r="C220" s="127">
        <v>30</v>
      </c>
    </row>
    <row r="221" spans="1:5" x14ac:dyDescent="0.3">
      <c r="A221" s="43"/>
    </row>
    <row r="222" spans="1:5" x14ac:dyDescent="0.3">
      <c r="A222" s="1588" t="s">
        <v>1182</v>
      </c>
      <c r="B222" s="1587" t="s">
        <v>892</v>
      </c>
      <c r="C222" s="1587" t="s">
        <v>282</v>
      </c>
      <c r="D222" s="1587" t="s">
        <v>288</v>
      </c>
      <c r="E222" s="1587" t="s">
        <v>1069</v>
      </c>
    </row>
    <row r="223" spans="1:5" x14ac:dyDescent="0.3">
      <c r="A223" s="43" t="s">
        <v>1248</v>
      </c>
      <c r="B223" t="s">
        <v>893</v>
      </c>
      <c r="C223" t="s">
        <v>502</v>
      </c>
    </row>
    <row r="224" spans="1:5" x14ac:dyDescent="0.3">
      <c r="A224" s="43" t="s">
        <v>1249</v>
      </c>
      <c r="B224" t="s">
        <v>503</v>
      </c>
      <c r="C224" s="127">
        <v>225</v>
      </c>
    </row>
    <row r="225" spans="1:34" x14ac:dyDescent="0.3">
      <c r="A225" s="43" t="s">
        <v>1208</v>
      </c>
      <c r="B225" t="s">
        <v>415</v>
      </c>
      <c r="C225" s="705">
        <v>0.4</v>
      </c>
    </row>
    <row r="226" spans="1:34" x14ac:dyDescent="0.3">
      <c r="A226" s="43" t="s">
        <v>1185</v>
      </c>
      <c r="B226" s="119" t="s">
        <v>497</v>
      </c>
      <c r="C226" s="698">
        <f>384*greenfield</f>
        <v>384</v>
      </c>
    </row>
    <row r="227" spans="1:34" x14ac:dyDescent="0.3">
      <c r="A227" s="43" t="s">
        <v>1220</v>
      </c>
      <c r="B227" t="s">
        <v>666</v>
      </c>
      <c r="C227" s="698">
        <v>100</v>
      </c>
    </row>
    <row r="228" spans="1:34" x14ac:dyDescent="0.3">
      <c r="A228" s="43" t="s">
        <v>1186</v>
      </c>
      <c r="B228" t="s">
        <v>415</v>
      </c>
      <c r="C228" s="1300">
        <v>0.7</v>
      </c>
    </row>
    <row r="229" spans="1:34" x14ac:dyDescent="0.3">
      <c r="A229" s="43"/>
    </row>
    <row r="230" spans="1:34" x14ac:dyDescent="0.3">
      <c r="A230" s="43" t="s">
        <v>1221</v>
      </c>
      <c r="B230" t="s">
        <v>666</v>
      </c>
      <c r="C230" s="698">
        <v>100</v>
      </c>
    </row>
    <row r="231" spans="1:34" x14ac:dyDescent="0.3">
      <c r="A231" s="43"/>
    </row>
    <row r="232" spans="1:34" x14ac:dyDescent="0.3">
      <c r="A232" s="43" t="s">
        <v>1252</v>
      </c>
      <c r="B232" t="s">
        <v>893</v>
      </c>
      <c r="C232" t="s">
        <v>502</v>
      </c>
    </row>
    <row r="233" spans="1:34" x14ac:dyDescent="0.3">
      <c r="A233" s="43" t="s">
        <v>1253</v>
      </c>
      <c r="B233" t="s">
        <v>503</v>
      </c>
      <c r="C233" s="127">
        <v>225</v>
      </c>
    </row>
    <row r="234" spans="1:34" x14ac:dyDescent="0.3">
      <c r="A234" s="43" t="s">
        <v>1206</v>
      </c>
      <c r="B234" t="s">
        <v>415</v>
      </c>
      <c r="C234" s="705">
        <v>0.47574149237192276</v>
      </c>
      <c r="J234" s="868"/>
      <c r="K234" s="119"/>
      <c r="L234" s="119"/>
      <c r="M234" s="102"/>
      <c r="N234" s="102"/>
      <c r="O234" s="102"/>
      <c r="P234" s="102"/>
      <c r="Q234" s="102"/>
      <c r="R234" s="102"/>
      <c r="S234" s="102"/>
      <c r="T234" s="102"/>
      <c r="U234" s="820"/>
      <c r="V234" s="714"/>
      <c r="W234" s="714"/>
      <c r="X234" s="102"/>
      <c r="Y234" s="369"/>
      <c r="Z234" s="907"/>
      <c r="AA234" s="906"/>
      <c r="AB234" s="820"/>
      <c r="AC234" s="119"/>
      <c r="AD234" s="710"/>
      <c r="AE234" s="119"/>
      <c r="AF234" s="714"/>
      <c r="AG234" s="369"/>
      <c r="AH234" s="710"/>
    </row>
    <row r="235" spans="1:34" ht="16.5" x14ac:dyDescent="0.3">
      <c r="A235" s="43" t="s">
        <v>1188</v>
      </c>
      <c r="B235" s="119" t="s">
        <v>497</v>
      </c>
      <c r="C235" s="1573">
        <f>0.5+2*greenfield</f>
        <v>2.5</v>
      </c>
    </row>
    <row r="236" spans="1:34" x14ac:dyDescent="0.3">
      <c r="A236" s="43" t="s">
        <v>1222</v>
      </c>
      <c r="B236" t="s">
        <v>666</v>
      </c>
      <c r="C236" s="698">
        <v>100</v>
      </c>
    </row>
    <row r="237" spans="1:34" x14ac:dyDescent="0.3">
      <c r="A237" s="43" t="s">
        <v>1189</v>
      </c>
      <c r="B237" t="s">
        <v>415</v>
      </c>
      <c r="C237" s="1300">
        <v>0.7</v>
      </c>
    </row>
    <row r="238" spans="1:34" x14ac:dyDescent="0.3">
      <c r="A238" s="43"/>
    </row>
    <row r="239" spans="1:34" x14ac:dyDescent="0.3">
      <c r="A239" s="43" t="s">
        <v>1254</v>
      </c>
      <c r="B239" t="s">
        <v>893</v>
      </c>
      <c r="C239" s="820" t="s">
        <v>938</v>
      </c>
    </row>
    <row r="240" spans="1:34" x14ac:dyDescent="0.3">
      <c r="A240" s="43" t="s">
        <v>1255</v>
      </c>
      <c r="B240" t="s">
        <v>519</v>
      </c>
      <c r="C240" s="127">
        <v>68.671489842805244</v>
      </c>
    </row>
    <row r="241" spans="1:3" x14ac:dyDescent="0.3">
      <c r="A241" s="43" t="s">
        <v>1205</v>
      </c>
      <c r="B241" t="s">
        <v>415</v>
      </c>
      <c r="C241" s="705">
        <v>0.47574149237192276</v>
      </c>
    </row>
    <row r="242" spans="1:3" x14ac:dyDescent="0.3">
      <c r="A242" s="43" t="s">
        <v>1190</v>
      </c>
      <c r="B242" s="119" t="s">
        <v>521</v>
      </c>
      <c r="C242" s="698">
        <v>465</v>
      </c>
    </row>
    <row r="243" spans="1:3" x14ac:dyDescent="0.3">
      <c r="A243" s="43" t="s">
        <v>1223</v>
      </c>
      <c r="B243" t="s">
        <v>666</v>
      </c>
      <c r="C243" s="698">
        <v>100</v>
      </c>
    </row>
    <row r="244" spans="1:3" x14ac:dyDescent="0.3">
      <c r="A244" s="43" t="s">
        <v>1191</v>
      </c>
      <c r="B244" t="s">
        <v>415</v>
      </c>
      <c r="C244" s="1300">
        <v>0.7</v>
      </c>
    </row>
    <row r="245" spans="1:3" x14ac:dyDescent="0.3">
      <c r="A245" s="43"/>
    </row>
    <row r="246" spans="1:3" x14ac:dyDescent="0.3">
      <c r="A246" s="43" t="s">
        <v>1192</v>
      </c>
      <c r="B246" t="s">
        <v>893</v>
      </c>
      <c r="C246" s="820" t="s">
        <v>522</v>
      </c>
    </row>
    <row r="247" spans="1:3" x14ac:dyDescent="0.3">
      <c r="A247" s="43" t="s">
        <v>1193</v>
      </c>
      <c r="B247" s="119" t="s">
        <v>294</v>
      </c>
      <c r="C247" s="127">
        <v>30</v>
      </c>
    </row>
    <row r="248" spans="1:3" x14ac:dyDescent="0.3">
      <c r="A248" s="43" t="s">
        <v>1204</v>
      </c>
      <c r="B248" t="s">
        <v>415</v>
      </c>
      <c r="C248" s="705">
        <v>0.47574149237192276</v>
      </c>
    </row>
    <row r="249" spans="1:3" x14ac:dyDescent="0.3">
      <c r="A249" s="43" t="s">
        <v>1194</v>
      </c>
      <c r="B249" s="119" t="s">
        <v>525</v>
      </c>
      <c r="C249" s="698">
        <v>15</v>
      </c>
    </row>
    <row r="250" spans="1:3" x14ac:dyDescent="0.3">
      <c r="A250" s="43" t="s">
        <v>1224</v>
      </c>
      <c r="B250" t="s">
        <v>666</v>
      </c>
      <c r="C250" s="698">
        <v>100</v>
      </c>
    </row>
    <row r="251" spans="1:3" x14ac:dyDescent="0.3">
      <c r="A251" s="43" t="s">
        <v>1195</v>
      </c>
      <c r="B251" t="s">
        <v>415</v>
      </c>
      <c r="C251" s="1300">
        <v>0.7</v>
      </c>
    </row>
    <row r="252" spans="1:3" x14ac:dyDescent="0.3">
      <c r="A252" s="43"/>
    </row>
    <row r="253" spans="1:3" x14ac:dyDescent="0.3">
      <c r="A253" s="43" t="s">
        <v>1196</v>
      </c>
      <c r="B253" t="s">
        <v>305</v>
      </c>
      <c r="C253" s="904">
        <v>300</v>
      </c>
    </row>
    <row r="254" spans="1:3" x14ac:dyDescent="0.3">
      <c r="A254" s="43" t="s">
        <v>1225</v>
      </c>
      <c r="B254" t="s">
        <v>666</v>
      </c>
      <c r="C254" s="698">
        <v>100</v>
      </c>
    </row>
    <row r="255" spans="1:3" x14ac:dyDescent="0.3">
      <c r="A255" s="43" t="s">
        <v>1197</v>
      </c>
      <c r="B255" t="s">
        <v>415</v>
      </c>
      <c r="C255" s="1300">
        <v>0.5</v>
      </c>
    </row>
    <row r="256" spans="1:3" x14ac:dyDescent="0.3">
      <c r="A256" s="43"/>
    </row>
    <row r="257" spans="1:3" x14ac:dyDescent="0.3">
      <c r="A257" s="43" t="s">
        <v>1258</v>
      </c>
      <c r="B257" t="s">
        <v>893</v>
      </c>
      <c r="C257" s="820" t="s">
        <v>522</v>
      </c>
    </row>
    <row r="258" spans="1:3" x14ac:dyDescent="0.3">
      <c r="A258" s="43" t="s">
        <v>1259</v>
      </c>
      <c r="B258" t="s">
        <v>294</v>
      </c>
      <c r="C258" s="127">
        <v>30</v>
      </c>
    </row>
    <row r="259" spans="1:3" x14ac:dyDescent="0.3">
      <c r="A259" s="43" t="s">
        <v>1203</v>
      </c>
      <c r="B259" t="s">
        <v>415</v>
      </c>
      <c r="C259" s="705">
        <v>0.47574149237192276</v>
      </c>
    </row>
    <row r="260" spans="1:3" x14ac:dyDescent="0.3">
      <c r="A260" s="43" t="s">
        <v>1198</v>
      </c>
      <c r="B260" s="119" t="s">
        <v>525</v>
      </c>
      <c r="C260" s="698">
        <v>5</v>
      </c>
    </row>
    <row r="261" spans="1:3" x14ac:dyDescent="0.3">
      <c r="A261" s="43" t="s">
        <v>1226</v>
      </c>
      <c r="B261" t="s">
        <v>666</v>
      </c>
      <c r="C261" s="698">
        <v>100</v>
      </c>
    </row>
    <row r="262" spans="1:3" x14ac:dyDescent="0.3">
      <c r="A262" s="43" t="s">
        <v>1199</v>
      </c>
      <c r="B262" t="s">
        <v>415</v>
      </c>
      <c r="C262" s="1300">
        <v>0.5</v>
      </c>
    </row>
    <row r="263" spans="1:3" x14ac:dyDescent="0.3">
      <c r="A263" s="43"/>
    </row>
    <row r="264" spans="1:3" x14ac:dyDescent="0.3">
      <c r="A264" s="43" t="s">
        <v>1266</v>
      </c>
      <c r="B264" t="s">
        <v>893</v>
      </c>
      <c r="C264" s="820" t="s">
        <v>522</v>
      </c>
    </row>
    <row r="265" spans="1:3" x14ac:dyDescent="0.3">
      <c r="A265" s="43" t="s">
        <v>1267</v>
      </c>
      <c r="B265" t="s">
        <v>294</v>
      </c>
      <c r="C265" s="127">
        <v>30</v>
      </c>
    </row>
    <row r="266" spans="1:3" x14ac:dyDescent="0.3">
      <c r="A266" s="43" t="s">
        <v>1227</v>
      </c>
      <c r="B266" t="s">
        <v>415</v>
      </c>
      <c r="C266" s="727">
        <v>0.8</v>
      </c>
    </row>
    <row r="267" spans="1:3" x14ac:dyDescent="0.3">
      <c r="A267" s="43" t="s">
        <v>1228</v>
      </c>
      <c r="B267" t="s">
        <v>666</v>
      </c>
      <c r="C267" s="698">
        <v>100</v>
      </c>
    </row>
    <row r="268" spans="1:3" x14ac:dyDescent="0.3">
      <c r="A268" s="43" t="s">
        <v>1229</v>
      </c>
      <c r="B268" t="s">
        <v>415</v>
      </c>
      <c r="C268" s="1300">
        <v>0.7</v>
      </c>
    </row>
    <row r="269" spans="1:3" x14ac:dyDescent="0.3">
      <c r="A269" s="43"/>
    </row>
    <row r="270" spans="1:3" x14ac:dyDescent="0.3">
      <c r="A270" s="43" t="s">
        <v>1230</v>
      </c>
      <c r="B270" t="s">
        <v>893</v>
      </c>
      <c r="C270" s="119" t="s">
        <v>916</v>
      </c>
    </row>
    <row r="271" spans="1:3" x14ac:dyDescent="0.3">
      <c r="A271" s="43" t="s">
        <v>1231</v>
      </c>
      <c r="B271" t="s">
        <v>503</v>
      </c>
      <c r="C271" s="728">
        <v>5</v>
      </c>
    </row>
    <row r="272" spans="1:3" x14ac:dyDescent="0.3">
      <c r="A272" s="43" t="s">
        <v>1268</v>
      </c>
      <c r="B272" t="s">
        <v>415</v>
      </c>
      <c r="C272" s="705">
        <v>0.41115610581226464</v>
      </c>
    </row>
    <row r="273" spans="1:3" x14ac:dyDescent="0.3">
      <c r="A273" s="43" t="s">
        <v>1269</v>
      </c>
      <c r="B273" t="s">
        <v>305</v>
      </c>
      <c r="C273" s="904">
        <v>3750</v>
      </c>
    </row>
    <row r="274" spans="1:3" x14ac:dyDescent="0.3">
      <c r="A274" s="43" t="s">
        <v>1235</v>
      </c>
      <c r="B274" t="s">
        <v>893</v>
      </c>
      <c r="C274" s="119" t="s">
        <v>522</v>
      </c>
    </row>
    <row r="275" spans="1:3" x14ac:dyDescent="0.3">
      <c r="A275" s="43" t="s">
        <v>1270</v>
      </c>
      <c r="B275" t="s">
        <v>294</v>
      </c>
      <c r="C275" s="728">
        <v>30</v>
      </c>
    </row>
    <row r="276" spans="1:3" x14ac:dyDescent="0.3">
      <c r="A276" s="43" t="s">
        <v>1232</v>
      </c>
      <c r="B276" t="s">
        <v>415</v>
      </c>
      <c r="C276" s="727">
        <v>0.8</v>
      </c>
    </row>
    <row r="277" spans="1:3" x14ac:dyDescent="0.3">
      <c r="A277" s="43" t="s">
        <v>1233</v>
      </c>
      <c r="B277" t="s">
        <v>666</v>
      </c>
      <c r="C277" s="698">
        <v>100</v>
      </c>
    </row>
    <row r="278" spans="1:3" x14ac:dyDescent="0.3">
      <c r="A278" s="43" t="s">
        <v>1234</v>
      </c>
      <c r="B278" t="s">
        <v>415</v>
      </c>
      <c r="C278" s="1300">
        <v>0.7</v>
      </c>
    </row>
    <row r="279" spans="1:3" x14ac:dyDescent="0.3">
      <c r="A279" s="43"/>
    </row>
    <row r="280" spans="1:3" x14ac:dyDescent="0.3">
      <c r="A280" s="43" t="s">
        <v>1236</v>
      </c>
      <c r="B280" t="s">
        <v>893</v>
      </c>
      <c r="C280" s="119" t="s">
        <v>916</v>
      </c>
    </row>
    <row r="281" spans="1:3" x14ac:dyDescent="0.3">
      <c r="A281" s="43" t="s">
        <v>1237</v>
      </c>
      <c r="B281" t="s">
        <v>503</v>
      </c>
      <c r="C281" s="728">
        <v>5</v>
      </c>
    </row>
    <row r="282" spans="1:3" x14ac:dyDescent="0.3">
      <c r="A282" s="43" t="s">
        <v>1271</v>
      </c>
      <c r="B282" t="s">
        <v>415</v>
      </c>
      <c r="C282" s="705">
        <v>0.26413892246963883</v>
      </c>
    </row>
    <row r="283" spans="1:3" x14ac:dyDescent="0.3">
      <c r="A283" s="43" t="s">
        <v>1272</v>
      </c>
      <c r="B283" t="s">
        <v>305</v>
      </c>
      <c r="C283" s="904">
        <v>1375</v>
      </c>
    </row>
    <row r="284" spans="1:3" x14ac:dyDescent="0.3">
      <c r="A284" s="43" t="s">
        <v>1241</v>
      </c>
      <c r="B284" t="s">
        <v>893</v>
      </c>
      <c r="C284" s="119" t="s">
        <v>522</v>
      </c>
    </row>
    <row r="285" spans="1:3" x14ac:dyDescent="0.3">
      <c r="A285" s="43" t="s">
        <v>1273</v>
      </c>
      <c r="B285" t="s">
        <v>294</v>
      </c>
      <c r="C285" s="728">
        <v>30</v>
      </c>
    </row>
    <row r="286" spans="1:3" x14ac:dyDescent="0.3">
      <c r="A286" s="43" t="s">
        <v>1238</v>
      </c>
      <c r="B286" t="s">
        <v>415</v>
      </c>
      <c r="C286" s="727">
        <v>0.8</v>
      </c>
    </row>
    <row r="287" spans="1:3" x14ac:dyDescent="0.3">
      <c r="A287" s="43" t="s">
        <v>1239</v>
      </c>
      <c r="B287" t="s">
        <v>666</v>
      </c>
      <c r="C287" s="698">
        <v>100</v>
      </c>
    </row>
    <row r="288" spans="1:3" x14ac:dyDescent="0.3">
      <c r="A288" s="43" t="s">
        <v>1240</v>
      </c>
      <c r="B288" t="s">
        <v>415</v>
      </c>
      <c r="C288" s="1300">
        <v>0.7</v>
      </c>
    </row>
    <row r="289" spans="1:5" x14ac:dyDescent="0.3">
      <c r="A289" s="43"/>
    </row>
    <row r="290" spans="1:5" x14ac:dyDescent="0.3">
      <c r="A290" s="43" t="s">
        <v>1214</v>
      </c>
      <c r="B290" t="s">
        <v>893</v>
      </c>
      <c r="C290" s="102" t="s">
        <v>916</v>
      </c>
    </row>
    <row r="291" spans="1:5" x14ac:dyDescent="0.3">
      <c r="A291" s="43" t="s">
        <v>1215</v>
      </c>
      <c r="B291" t="s">
        <v>503</v>
      </c>
      <c r="C291" s="728">
        <v>5</v>
      </c>
    </row>
    <row r="292" spans="1:5" x14ac:dyDescent="0.3">
      <c r="A292" s="43" t="s">
        <v>1274</v>
      </c>
      <c r="B292" t="s">
        <v>415</v>
      </c>
      <c r="C292" s="705">
        <v>0.1486703188727227</v>
      </c>
    </row>
    <row r="293" spans="1:5" x14ac:dyDescent="0.3">
      <c r="A293" s="43" t="s">
        <v>1264</v>
      </c>
      <c r="B293" t="s">
        <v>305</v>
      </c>
      <c r="C293" s="904">
        <v>300</v>
      </c>
    </row>
    <row r="294" spans="1:5" x14ac:dyDescent="0.3">
      <c r="A294" s="43" t="s">
        <v>1219</v>
      </c>
      <c r="B294" t="s">
        <v>893</v>
      </c>
      <c r="C294" s="820" t="s">
        <v>522</v>
      </c>
    </row>
    <row r="295" spans="1:5" x14ac:dyDescent="0.3">
      <c r="A295" s="43" t="s">
        <v>1265</v>
      </c>
      <c r="B295" t="s">
        <v>294</v>
      </c>
      <c r="C295" s="728">
        <v>30</v>
      </c>
    </row>
    <row r="296" spans="1:5" x14ac:dyDescent="0.3">
      <c r="A296" s="43" t="s">
        <v>1242</v>
      </c>
      <c r="B296" t="s">
        <v>415</v>
      </c>
      <c r="C296" s="727">
        <v>0.8</v>
      </c>
    </row>
    <row r="297" spans="1:5" x14ac:dyDescent="0.3">
      <c r="A297" s="43" t="s">
        <v>1243</v>
      </c>
      <c r="B297" t="s">
        <v>666</v>
      </c>
      <c r="C297" s="698">
        <v>100</v>
      </c>
    </row>
    <row r="298" spans="1:5" x14ac:dyDescent="0.3">
      <c r="A298" s="43" t="s">
        <v>1216</v>
      </c>
      <c r="B298" t="s">
        <v>415</v>
      </c>
      <c r="C298" s="1300">
        <v>0.7</v>
      </c>
    </row>
    <row r="300" spans="1:5" x14ac:dyDescent="0.3">
      <c r="A300" s="1584" t="s">
        <v>1275</v>
      </c>
      <c r="B300" s="1585" t="s">
        <v>892</v>
      </c>
      <c r="C300" s="1585" t="s">
        <v>282</v>
      </c>
      <c r="D300" s="1585" t="s">
        <v>288</v>
      </c>
      <c r="E300" s="1585" t="s">
        <v>1069</v>
      </c>
    </row>
    <row r="301" spans="1:5" x14ac:dyDescent="0.3">
      <c r="A301" s="1586" t="s">
        <v>1276</v>
      </c>
      <c r="B301" s="90" t="s">
        <v>892</v>
      </c>
      <c r="C301" s="90" t="s">
        <v>282</v>
      </c>
      <c r="D301" s="90" t="s">
        <v>288</v>
      </c>
      <c r="E301" s="90" t="s">
        <v>1069</v>
      </c>
    </row>
    <row r="302" spans="1:5" x14ac:dyDescent="0.3">
      <c r="A302" t="s">
        <v>1278</v>
      </c>
      <c r="B302" t="s">
        <v>893</v>
      </c>
      <c r="C302" t="s">
        <v>893</v>
      </c>
    </row>
    <row r="303" spans="1:5" x14ac:dyDescent="0.3">
      <c r="A303" t="s">
        <v>1279</v>
      </c>
      <c r="B303" t="s">
        <v>531</v>
      </c>
      <c r="C303" s="1044">
        <v>4</v>
      </c>
    </row>
    <row r="304" spans="1:5" x14ac:dyDescent="0.3">
      <c r="A304" t="s">
        <v>1280</v>
      </c>
      <c r="B304" t="s">
        <v>415</v>
      </c>
      <c r="C304" s="1035">
        <v>0.05</v>
      </c>
    </row>
    <row r="305" spans="1:3" x14ac:dyDescent="0.3">
      <c r="A305" t="s">
        <v>1281</v>
      </c>
      <c r="B305" s="119" t="s">
        <v>533</v>
      </c>
      <c r="C305" s="914">
        <f>12/90</f>
        <v>0.13333333333333333</v>
      </c>
    </row>
    <row r="306" spans="1:3" x14ac:dyDescent="0.3">
      <c r="A306" t="s">
        <v>1282</v>
      </c>
      <c r="B306" t="s">
        <v>893</v>
      </c>
      <c r="C306" t="s">
        <v>893</v>
      </c>
    </row>
    <row r="307" spans="1:3" x14ac:dyDescent="0.3">
      <c r="A307" t="s">
        <v>1283</v>
      </c>
      <c r="B307" t="s">
        <v>415</v>
      </c>
      <c r="C307" s="654">
        <v>0.16173774834437082</v>
      </c>
    </row>
    <row r="309" spans="1:3" x14ac:dyDescent="0.3">
      <c r="A309" t="s">
        <v>1284</v>
      </c>
      <c r="B309" t="s">
        <v>893</v>
      </c>
      <c r="C309" t="s">
        <v>893</v>
      </c>
    </row>
    <row r="310" spans="1:3" x14ac:dyDescent="0.3">
      <c r="A310" t="s">
        <v>1285</v>
      </c>
      <c r="B310" t="s">
        <v>531</v>
      </c>
      <c r="C310" s="1044">
        <v>3</v>
      </c>
    </row>
    <row r="311" spans="1:3" x14ac:dyDescent="0.3">
      <c r="A311" t="s">
        <v>1286</v>
      </c>
      <c r="B311" t="s">
        <v>415</v>
      </c>
      <c r="C311" s="1035">
        <v>0.3</v>
      </c>
    </row>
    <row r="312" spans="1:3" x14ac:dyDescent="0.3">
      <c r="A312" t="s">
        <v>1287</v>
      </c>
      <c r="B312" t="s">
        <v>893</v>
      </c>
      <c r="C312" t="s">
        <v>893</v>
      </c>
    </row>
    <row r="313" spans="1:3" x14ac:dyDescent="0.3">
      <c r="A313" t="s">
        <v>1288</v>
      </c>
      <c r="B313" t="s">
        <v>898</v>
      </c>
      <c r="C313" s="127">
        <v>30</v>
      </c>
    </row>
    <row r="314" spans="1:3" x14ac:dyDescent="0.3">
      <c r="A314" t="s">
        <v>1169</v>
      </c>
      <c r="B314" t="s">
        <v>415</v>
      </c>
      <c r="C314" s="654">
        <v>0.660377358490566</v>
      </c>
    </row>
    <row r="316" spans="1:3" x14ac:dyDescent="0.3">
      <c r="A316" t="s">
        <v>1289</v>
      </c>
      <c r="B316" t="s">
        <v>893</v>
      </c>
      <c r="C316" t="s">
        <v>893</v>
      </c>
    </row>
    <row r="317" spans="1:3" x14ac:dyDescent="0.3">
      <c r="A317" t="s">
        <v>1290</v>
      </c>
      <c r="B317" t="s">
        <v>531</v>
      </c>
      <c r="C317" s="1044">
        <v>5</v>
      </c>
    </row>
    <row r="318" spans="1:3" x14ac:dyDescent="0.3">
      <c r="A318" t="s">
        <v>1291</v>
      </c>
      <c r="B318" t="s">
        <v>415</v>
      </c>
      <c r="C318" s="1035">
        <v>0.7</v>
      </c>
    </row>
    <row r="319" spans="1:3" x14ac:dyDescent="0.3">
      <c r="A319" t="s">
        <v>1292</v>
      </c>
      <c r="B319" t="s">
        <v>893</v>
      </c>
      <c r="C319" t="s">
        <v>893</v>
      </c>
    </row>
    <row r="320" spans="1:3" x14ac:dyDescent="0.3">
      <c r="A320" t="s">
        <v>1293</v>
      </c>
      <c r="B320" t="s">
        <v>893</v>
      </c>
      <c r="C320" t="s">
        <v>893</v>
      </c>
    </row>
    <row r="321" spans="1:3" x14ac:dyDescent="0.3">
      <c r="A321" t="s">
        <v>1294</v>
      </c>
      <c r="B321" t="s">
        <v>415</v>
      </c>
      <c r="C321" s="654">
        <v>0.7</v>
      </c>
    </row>
    <row r="323" spans="1:3" x14ac:dyDescent="0.3">
      <c r="A323" t="s">
        <v>1295</v>
      </c>
      <c r="B323" t="s">
        <v>893</v>
      </c>
      <c r="C323" t="s">
        <v>893</v>
      </c>
    </row>
    <row r="324" spans="1:3" x14ac:dyDescent="0.3">
      <c r="A324" t="s">
        <v>1296</v>
      </c>
      <c r="B324" t="s">
        <v>531</v>
      </c>
      <c r="C324" s="1045">
        <v>4</v>
      </c>
    </row>
    <row r="325" spans="1:3" x14ac:dyDescent="0.3">
      <c r="A325" t="s">
        <v>1297</v>
      </c>
      <c r="B325" t="s">
        <v>415</v>
      </c>
      <c r="C325" s="1036">
        <v>0.05</v>
      </c>
    </row>
    <row r="326" spans="1:3" x14ac:dyDescent="0.3">
      <c r="A326" t="s">
        <v>1298</v>
      </c>
      <c r="B326" s="178" t="s">
        <v>533</v>
      </c>
      <c r="C326" s="915">
        <f>8/90</f>
        <v>8.8888888888888892E-2</v>
      </c>
    </row>
    <row r="327" spans="1:3" x14ac:dyDescent="0.3">
      <c r="A327" t="s">
        <v>1299</v>
      </c>
      <c r="B327" t="s">
        <v>893</v>
      </c>
      <c r="C327" t="s">
        <v>893</v>
      </c>
    </row>
    <row r="328" spans="1:3" x14ac:dyDescent="0.3">
      <c r="A328" t="s">
        <v>1300</v>
      </c>
      <c r="B328" t="s">
        <v>415</v>
      </c>
      <c r="C328" s="655">
        <v>0.65661478599221812</v>
      </c>
    </row>
    <row r="330" spans="1:3" x14ac:dyDescent="0.3">
      <c r="A330" t="s">
        <v>1301</v>
      </c>
      <c r="B330" t="s">
        <v>1346</v>
      </c>
      <c r="C330" s="1596">
        <v>0.1</v>
      </c>
    </row>
    <row r="331" spans="1:3" x14ac:dyDescent="0.3">
      <c r="A331" t="s">
        <v>1302</v>
      </c>
      <c r="B331" t="s">
        <v>531</v>
      </c>
      <c r="C331" s="1044">
        <v>6</v>
      </c>
    </row>
    <row r="332" spans="1:3" x14ac:dyDescent="0.3">
      <c r="A332" t="s">
        <v>1303</v>
      </c>
      <c r="B332" t="s">
        <v>415</v>
      </c>
      <c r="C332" s="1035">
        <v>1</v>
      </c>
    </row>
    <row r="333" spans="1:3" x14ac:dyDescent="0.3">
      <c r="A333" t="s">
        <v>1304</v>
      </c>
      <c r="B333" s="178" t="s">
        <v>533</v>
      </c>
      <c r="C333" s="914">
        <f>8/90</f>
        <v>8.8888888888888892E-2</v>
      </c>
    </row>
    <row r="334" spans="1:3" x14ac:dyDescent="0.3">
      <c r="A334" t="s">
        <v>1305</v>
      </c>
      <c r="B334" t="s">
        <v>893</v>
      </c>
      <c r="C334" t="s">
        <v>893</v>
      </c>
    </row>
    <row r="335" spans="1:3" x14ac:dyDescent="0.3">
      <c r="A335" t="s">
        <v>1306</v>
      </c>
      <c r="B335" t="s">
        <v>415</v>
      </c>
      <c r="C335" s="654">
        <v>0.68414502350976691</v>
      </c>
    </row>
    <row r="337" spans="1:3" x14ac:dyDescent="0.3">
      <c r="A337" t="s">
        <v>1307</v>
      </c>
      <c r="B337" t="s">
        <v>1346</v>
      </c>
      <c r="C337" s="1596">
        <v>0.1</v>
      </c>
    </row>
    <row r="338" spans="1:3" x14ac:dyDescent="0.3">
      <c r="A338" t="s">
        <v>1308</v>
      </c>
      <c r="B338" t="s">
        <v>531</v>
      </c>
      <c r="C338" s="1045">
        <v>1</v>
      </c>
    </row>
    <row r="339" spans="1:3" x14ac:dyDescent="0.3">
      <c r="A339" t="s">
        <v>1309</v>
      </c>
      <c r="B339" t="s">
        <v>415</v>
      </c>
      <c r="C339" s="1036">
        <v>1</v>
      </c>
    </row>
    <row r="340" spans="1:3" x14ac:dyDescent="0.3">
      <c r="A340" t="s">
        <v>1310</v>
      </c>
      <c r="B340" s="178" t="s">
        <v>533</v>
      </c>
      <c r="C340" s="915">
        <f>8/90</f>
        <v>8.8888888888888892E-2</v>
      </c>
    </row>
    <row r="341" spans="1:3" x14ac:dyDescent="0.3">
      <c r="A341" t="s">
        <v>1311</v>
      </c>
      <c r="B341" t="s">
        <v>893</v>
      </c>
      <c r="C341" t="s">
        <v>893</v>
      </c>
    </row>
    <row r="342" spans="1:3" x14ac:dyDescent="0.3">
      <c r="A342" t="s">
        <v>1312</v>
      </c>
      <c r="B342" t="s">
        <v>415</v>
      </c>
      <c r="C342" s="655">
        <v>0.68414502350976703</v>
      </c>
    </row>
    <row r="344" spans="1:3" x14ac:dyDescent="0.3">
      <c r="A344" t="s">
        <v>1313</v>
      </c>
      <c r="B344" t="s">
        <v>1346</v>
      </c>
      <c r="C344" s="1596">
        <v>0.5</v>
      </c>
    </row>
    <row r="345" spans="1:3" x14ac:dyDescent="0.3">
      <c r="A345" t="s">
        <v>1314</v>
      </c>
      <c r="B345" t="s">
        <v>531</v>
      </c>
      <c r="C345" s="1044">
        <v>10</v>
      </c>
    </row>
    <row r="346" spans="1:3" x14ac:dyDescent="0.3">
      <c r="A346" t="s">
        <v>1315</v>
      </c>
      <c r="B346" t="s">
        <v>415</v>
      </c>
      <c r="C346" s="1035">
        <v>0.1</v>
      </c>
    </row>
    <row r="347" spans="1:3" x14ac:dyDescent="0.3">
      <c r="A347" t="s">
        <v>1316</v>
      </c>
      <c r="B347" t="s">
        <v>534</v>
      </c>
      <c r="C347" s="917">
        <f>96/350000*1000</f>
        <v>0.27428571428571424</v>
      </c>
    </row>
    <row r="348" spans="1:3" x14ac:dyDescent="0.3">
      <c r="A348" t="s">
        <v>1317</v>
      </c>
      <c r="B348" t="s">
        <v>893</v>
      </c>
      <c r="C348" t="s">
        <v>893</v>
      </c>
    </row>
    <row r="349" spans="1:3" x14ac:dyDescent="0.3">
      <c r="A349" t="s">
        <v>1318</v>
      </c>
      <c r="B349" t="s">
        <v>415</v>
      </c>
      <c r="C349" s="654">
        <v>0.71402796571944072</v>
      </c>
    </row>
    <row r="351" spans="1:3" x14ac:dyDescent="0.3">
      <c r="A351" t="s">
        <v>1319</v>
      </c>
      <c r="B351" t="s">
        <v>893</v>
      </c>
      <c r="C351" t="s">
        <v>893</v>
      </c>
    </row>
    <row r="352" spans="1:3" x14ac:dyDescent="0.3">
      <c r="A352" t="s">
        <v>1320</v>
      </c>
      <c r="B352" t="s">
        <v>531</v>
      </c>
      <c r="C352" s="1044">
        <v>4</v>
      </c>
    </row>
    <row r="353" spans="1:3" x14ac:dyDescent="0.3">
      <c r="A353" t="s">
        <v>1321</v>
      </c>
      <c r="B353" t="s">
        <v>415</v>
      </c>
      <c r="C353" s="1035">
        <v>0.1</v>
      </c>
    </row>
    <row r="354" spans="1:3" x14ac:dyDescent="0.3">
      <c r="A354" t="s">
        <v>1322</v>
      </c>
      <c r="B354" t="s">
        <v>534</v>
      </c>
      <c r="C354" s="917">
        <f>48/350000*1000</f>
        <v>0.13714285714285712</v>
      </c>
    </row>
    <row r="355" spans="1:3" x14ac:dyDescent="0.3">
      <c r="A355" t="s">
        <v>1323</v>
      </c>
      <c r="B355" t="s">
        <v>893</v>
      </c>
      <c r="C355" t="s">
        <v>893</v>
      </c>
    </row>
    <row r="356" spans="1:3" x14ac:dyDescent="0.3">
      <c r="A356" t="s">
        <v>1324</v>
      </c>
      <c r="B356" t="s">
        <v>415</v>
      </c>
      <c r="C356" s="654">
        <v>0.71729269327415734</v>
      </c>
    </row>
    <row r="358" spans="1:3" x14ac:dyDescent="0.3">
      <c r="A358" t="s">
        <v>1325</v>
      </c>
      <c r="B358" t="s">
        <v>893</v>
      </c>
      <c r="C358" t="s">
        <v>893</v>
      </c>
    </row>
    <row r="359" spans="1:3" x14ac:dyDescent="0.3">
      <c r="A359" t="s">
        <v>1326</v>
      </c>
      <c r="B359" t="s">
        <v>531</v>
      </c>
      <c r="C359" s="1044">
        <v>4</v>
      </c>
    </row>
    <row r="360" spans="1:3" x14ac:dyDescent="0.3">
      <c r="A360" t="s">
        <v>1327</v>
      </c>
      <c r="B360" t="s">
        <v>415</v>
      </c>
      <c r="C360" s="1035">
        <v>0.1</v>
      </c>
    </row>
    <row r="361" spans="1:3" x14ac:dyDescent="0.3">
      <c r="A361" t="s">
        <v>1328</v>
      </c>
      <c r="B361" t="s">
        <v>534</v>
      </c>
      <c r="C361" s="917">
        <f>48/350000*1000</f>
        <v>0.13714285714285712</v>
      </c>
    </row>
    <row r="362" spans="1:3" x14ac:dyDescent="0.3">
      <c r="A362" t="s">
        <v>1329</v>
      </c>
      <c r="B362" t="s">
        <v>893</v>
      </c>
      <c r="C362" t="s">
        <v>893</v>
      </c>
    </row>
    <row r="363" spans="1:3" x14ac:dyDescent="0.3">
      <c r="A363" t="s">
        <v>1330</v>
      </c>
      <c r="B363" t="s">
        <v>415</v>
      </c>
      <c r="C363" s="654">
        <v>0.64771976206212811</v>
      </c>
    </row>
    <row r="365" spans="1:3" x14ac:dyDescent="0.3">
      <c r="A365" t="s">
        <v>1331</v>
      </c>
      <c r="B365" t="s">
        <v>893</v>
      </c>
      <c r="C365" t="s">
        <v>893</v>
      </c>
    </row>
    <row r="366" spans="1:3" x14ac:dyDescent="0.3">
      <c r="A366" t="s">
        <v>1332</v>
      </c>
      <c r="B366" t="s">
        <v>531</v>
      </c>
      <c r="C366" s="1045">
        <v>4</v>
      </c>
    </row>
    <row r="367" spans="1:3" x14ac:dyDescent="0.3">
      <c r="A367" t="s">
        <v>1333</v>
      </c>
      <c r="B367" t="s">
        <v>415</v>
      </c>
      <c r="C367" s="1036">
        <v>0.1</v>
      </c>
    </row>
    <row r="368" spans="1:3" x14ac:dyDescent="0.3">
      <c r="A368" t="s">
        <v>1334</v>
      </c>
      <c r="B368" t="s">
        <v>534</v>
      </c>
      <c r="C368" s="918">
        <f>8/350000*1000</f>
        <v>2.2857142857142857E-2</v>
      </c>
    </row>
    <row r="369" spans="1:3" x14ac:dyDescent="0.3">
      <c r="A369" t="s">
        <v>1335</v>
      </c>
      <c r="B369" t="s">
        <v>893</v>
      </c>
      <c r="C369" t="s">
        <v>893</v>
      </c>
    </row>
    <row r="370" spans="1:3" x14ac:dyDescent="0.3">
      <c r="A370" t="s">
        <v>1175</v>
      </c>
      <c r="B370" t="s">
        <v>415</v>
      </c>
      <c r="C370" s="655">
        <v>0.17378351539225423</v>
      </c>
    </row>
    <row r="372" spans="1:3" x14ac:dyDescent="0.3">
      <c r="A372" t="s">
        <v>1336</v>
      </c>
      <c r="B372" t="s">
        <v>1346</v>
      </c>
      <c r="C372" s="1596">
        <v>0.1</v>
      </c>
    </row>
    <row r="373" spans="1:3" x14ac:dyDescent="0.3">
      <c r="A373" t="s">
        <v>1337</v>
      </c>
      <c r="B373" t="s">
        <v>531</v>
      </c>
      <c r="C373" s="1044">
        <v>1</v>
      </c>
    </row>
    <row r="374" spans="1:3" x14ac:dyDescent="0.3">
      <c r="A374" t="s">
        <v>1338</v>
      </c>
      <c r="B374" t="s">
        <v>415</v>
      </c>
      <c r="C374" s="1035">
        <v>0.1</v>
      </c>
    </row>
    <row r="375" spans="1:3" x14ac:dyDescent="0.3">
      <c r="A375" t="s">
        <v>1339</v>
      </c>
      <c r="B375" s="178" t="s">
        <v>533</v>
      </c>
      <c r="C375" s="914">
        <f>12/90</f>
        <v>0.13333333333333333</v>
      </c>
    </row>
    <row r="376" spans="1:3" x14ac:dyDescent="0.3">
      <c r="A376" t="s">
        <v>1340</v>
      </c>
      <c r="B376" t="s">
        <v>893</v>
      </c>
      <c r="C376" t="s">
        <v>893</v>
      </c>
    </row>
    <row r="377" spans="1:3" x14ac:dyDescent="0.3">
      <c r="A377" t="s">
        <v>1178</v>
      </c>
      <c r="B377" t="s">
        <v>415</v>
      </c>
      <c r="C377" s="654">
        <v>0.69358758707916757</v>
      </c>
    </row>
    <row r="379" spans="1:3" x14ac:dyDescent="0.3">
      <c r="A379" t="s">
        <v>1341</v>
      </c>
      <c r="B379" t="s">
        <v>893</v>
      </c>
      <c r="C379" t="s">
        <v>893</v>
      </c>
    </row>
    <row r="380" spans="1:3" x14ac:dyDescent="0.3">
      <c r="A380" t="s">
        <v>1342</v>
      </c>
      <c r="B380" t="s">
        <v>531</v>
      </c>
      <c r="C380" s="1045">
        <v>5</v>
      </c>
    </row>
    <row r="381" spans="1:3" x14ac:dyDescent="0.3">
      <c r="A381" t="s">
        <v>1343</v>
      </c>
      <c r="B381" t="s">
        <v>415</v>
      </c>
      <c r="C381" s="1036">
        <v>0.1</v>
      </c>
    </row>
    <row r="382" spans="1:3" x14ac:dyDescent="0.3">
      <c r="A382" t="s">
        <v>1344</v>
      </c>
      <c r="B382" s="178" t="s">
        <v>533</v>
      </c>
      <c r="C382" s="915">
        <f>12/90</f>
        <v>0.13333333333333333</v>
      </c>
    </row>
    <row r="383" spans="1:3" x14ac:dyDescent="0.3">
      <c r="A383" t="s">
        <v>1345</v>
      </c>
      <c r="B383" t="s">
        <v>893</v>
      </c>
      <c r="C383" t="s">
        <v>893</v>
      </c>
    </row>
    <row r="384" spans="1:3" x14ac:dyDescent="0.3">
      <c r="A384" t="s">
        <v>1177</v>
      </c>
      <c r="B384" t="s">
        <v>415</v>
      </c>
      <c r="C384" s="655">
        <v>0.33877460553908656</v>
      </c>
    </row>
    <row r="386" spans="1:5" x14ac:dyDescent="0.3">
      <c r="A386" s="1586" t="s">
        <v>1277</v>
      </c>
      <c r="B386" s="90" t="s">
        <v>892</v>
      </c>
      <c r="C386" s="90" t="s">
        <v>282</v>
      </c>
      <c r="D386" s="90" t="s">
        <v>288</v>
      </c>
      <c r="E386" s="90" t="s">
        <v>1069</v>
      </c>
    </row>
    <row r="387" spans="1:5" x14ac:dyDescent="0.3">
      <c r="A387" s="43" t="s">
        <v>1347</v>
      </c>
      <c r="B387" t="s">
        <v>893</v>
      </c>
      <c r="C387" s="145" t="s">
        <v>624</v>
      </c>
    </row>
    <row r="388" spans="1:5" x14ac:dyDescent="0.3">
      <c r="A388" s="43" t="s">
        <v>1348</v>
      </c>
      <c r="B388" s="119" t="s">
        <v>503</v>
      </c>
      <c r="C388" s="127">
        <v>13.5</v>
      </c>
    </row>
    <row r="389" spans="1:5" x14ac:dyDescent="0.3">
      <c r="A389" s="43" t="s">
        <v>1349</v>
      </c>
      <c r="B389" t="s">
        <v>415</v>
      </c>
      <c r="C389" s="381">
        <v>0.6</v>
      </c>
    </row>
    <row r="390" spans="1:5" x14ac:dyDescent="0.3">
      <c r="A390" s="43" t="s">
        <v>1350</v>
      </c>
      <c r="B390" s="1605" t="s">
        <v>615</v>
      </c>
      <c r="C390" s="728">
        <v>5</v>
      </c>
    </row>
    <row r="391" spans="1:5" x14ac:dyDescent="0.3">
      <c r="A391" s="43" t="s">
        <v>1351</v>
      </c>
      <c r="B391" t="s">
        <v>893</v>
      </c>
      <c r="C391" t="s">
        <v>893</v>
      </c>
    </row>
    <row r="392" spans="1:5" x14ac:dyDescent="0.3">
      <c r="A392" s="43" t="s">
        <v>1352</v>
      </c>
      <c r="B392" t="s">
        <v>893</v>
      </c>
      <c r="C392" t="s">
        <v>893</v>
      </c>
    </row>
    <row r="393" spans="1:5" x14ac:dyDescent="0.3">
      <c r="A393" s="43" t="s">
        <v>1353</v>
      </c>
      <c r="B393" t="s">
        <v>893</v>
      </c>
      <c r="C393" t="s">
        <v>893</v>
      </c>
    </row>
    <row r="394" spans="1:5" x14ac:dyDescent="0.3">
      <c r="A394" s="43"/>
    </row>
    <row r="395" spans="1:5" x14ac:dyDescent="0.3">
      <c r="A395" s="43" t="s">
        <v>1354</v>
      </c>
      <c r="B395" t="s">
        <v>893</v>
      </c>
      <c r="C395" s="145" t="s">
        <v>624</v>
      </c>
    </row>
    <row r="396" spans="1:5" x14ac:dyDescent="0.3">
      <c r="A396" s="43" t="s">
        <v>1355</v>
      </c>
      <c r="B396" s="119" t="s">
        <v>503</v>
      </c>
      <c r="C396" s="127">
        <v>13.5</v>
      </c>
    </row>
    <row r="397" spans="1:5" x14ac:dyDescent="0.3">
      <c r="A397" s="43" t="s">
        <v>1356</v>
      </c>
      <c r="B397" t="s">
        <v>415</v>
      </c>
      <c r="C397" s="381">
        <v>0.5</v>
      </c>
    </row>
    <row r="398" spans="1:5" x14ac:dyDescent="0.3">
      <c r="A398" s="43" t="s">
        <v>1357</v>
      </c>
      <c r="B398" s="1605" t="s">
        <v>615</v>
      </c>
      <c r="C398" s="728">
        <f>5*(1-offshore)</f>
        <v>5</v>
      </c>
    </row>
    <row r="399" spans="1:5" x14ac:dyDescent="0.3">
      <c r="A399" s="43" t="s">
        <v>1358</v>
      </c>
      <c r="B399" t="s">
        <v>893</v>
      </c>
      <c r="C399" t="s">
        <v>893</v>
      </c>
    </row>
    <row r="400" spans="1:5" x14ac:dyDescent="0.3">
      <c r="A400" s="43" t="s">
        <v>1359</v>
      </c>
      <c r="B400" t="s">
        <v>893</v>
      </c>
      <c r="C400" t="s">
        <v>893</v>
      </c>
    </row>
    <row r="401" spans="1:10" x14ac:dyDescent="0.3">
      <c r="A401" s="43" t="s">
        <v>1360</v>
      </c>
      <c r="B401" t="s">
        <v>893</v>
      </c>
      <c r="C401" t="s">
        <v>893</v>
      </c>
    </row>
    <row r="402" spans="1:10" x14ac:dyDescent="0.3">
      <c r="A402" s="43"/>
    </row>
    <row r="403" spans="1:10" x14ac:dyDescent="0.3">
      <c r="A403" s="43" t="s">
        <v>1361</v>
      </c>
      <c r="B403" t="s">
        <v>893</v>
      </c>
      <c r="C403" s="145" t="s">
        <v>623</v>
      </c>
    </row>
    <row r="404" spans="1:10" x14ac:dyDescent="0.3">
      <c r="A404" s="43" t="s">
        <v>1362</v>
      </c>
      <c r="B404" s="83" t="s">
        <v>551</v>
      </c>
      <c r="C404" s="127">
        <v>10143.916477661758</v>
      </c>
    </row>
    <row r="405" spans="1:10" x14ac:dyDescent="0.3">
      <c r="A405" s="43" t="s">
        <v>1363</v>
      </c>
      <c r="B405" t="s">
        <v>893</v>
      </c>
      <c r="C405" t="s">
        <v>893</v>
      </c>
    </row>
    <row r="406" spans="1:10" x14ac:dyDescent="0.3">
      <c r="A406" s="43" t="s">
        <v>1364</v>
      </c>
      <c r="B406" s="1605" t="s">
        <v>616</v>
      </c>
      <c r="C406" s="1606">
        <v>0.01</v>
      </c>
    </row>
    <row r="407" spans="1:10" x14ac:dyDescent="0.3">
      <c r="A407" s="43" t="s">
        <v>1365</v>
      </c>
      <c r="B407" t="s">
        <v>893</v>
      </c>
      <c r="C407" t="s">
        <v>893</v>
      </c>
    </row>
    <row r="408" spans="1:10" x14ac:dyDescent="0.3">
      <c r="A408" s="43" t="s">
        <v>1366</v>
      </c>
      <c r="B408" t="s">
        <v>893</v>
      </c>
      <c r="C408" t="s">
        <v>893</v>
      </c>
    </row>
    <row r="409" spans="1:10" x14ac:dyDescent="0.3">
      <c r="A409" s="43" t="s">
        <v>1367</v>
      </c>
      <c r="B409" t="s">
        <v>415</v>
      </c>
      <c r="C409" s="381">
        <v>0.9</v>
      </c>
    </row>
    <row r="410" spans="1:10" x14ac:dyDescent="0.3">
      <c r="A410" s="43"/>
      <c r="J410" s="366"/>
    </row>
    <row r="411" spans="1:10" x14ac:dyDescent="0.3">
      <c r="A411" s="43" t="s">
        <v>1368</v>
      </c>
      <c r="B411" t="s">
        <v>893</v>
      </c>
      <c r="C411" s="145" t="s">
        <v>623</v>
      </c>
      <c r="J411" s="366"/>
    </row>
    <row r="412" spans="1:10" x14ac:dyDescent="0.3">
      <c r="A412" s="43" t="s">
        <v>1369</v>
      </c>
      <c r="B412" s="83" t="s">
        <v>551</v>
      </c>
      <c r="C412" s="127">
        <v>10143.916477661758</v>
      </c>
      <c r="H412" s="1601"/>
      <c r="J412" s="1602"/>
    </row>
    <row r="413" spans="1:10" x14ac:dyDescent="0.3">
      <c r="A413" s="43" t="s">
        <v>1370</v>
      </c>
      <c r="B413" t="s">
        <v>893</v>
      </c>
      <c r="C413" t="s">
        <v>893</v>
      </c>
      <c r="H413" s="1601"/>
      <c r="J413" s="1602"/>
    </row>
    <row r="414" spans="1:10" x14ac:dyDescent="0.3">
      <c r="A414" s="43" t="s">
        <v>1371</v>
      </c>
      <c r="B414" s="1605" t="s">
        <v>616</v>
      </c>
      <c r="C414" s="1606">
        <v>0.01</v>
      </c>
      <c r="H414" s="1601"/>
      <c r="J414" s="1602"/>
    </row>
    <row r="415" spans="1:10" x14ac:dyDescent="0.3">
      <c r="A415" s="43" t="s">
        <v>1372</v>
      </c>
      <c r="B415" t="s">
        <v>893</v>
      </c>
      <c r="C415" t="s">
        <v>893</v>
      </c>
      <c r="J415" s="1602"/>
    </row>
    <row r="416" spans="1:10" x14ac:dyDescent="0.3">
      <c r="A416" s="43" t="s">
        <v>1373</v>
      </c>
      <c r="B416" t="s">
        <v>893</v>
      </c>
      <c r="C416" t="s">
        <v>893</v>
      </c>
      <c r="J416" s="1602"/>
    </row>
    <row r="417" spans="1:10" x14ac:dyDescent="0.3">
      <c r="A417" s="43" t="s">
        <v>1374</v>
      </c>
      <c r="B417" t="s">
        <v>893</v>
      </c>
      <c r="C417" t="s">
        <v>893</v>
      </c>
      <c r="H417" s="1601"/>
      <c r="J417" s="1602"/>
    </row>
    <row r="418" spans="1:10" x14ac:dyDescent="0.3">
      <c r="A418" s="43"/>
    </row>
    <row r="419" spans="1:10" x14ac:dyDescent="0.3">
      <c r="A419" s="43" t="s">
        <v>1375</v>
      </c>
      <c r="B419" t="s">
        <v>893</v>
      </c>
      <c r="C419" s="145" t="s">
        <v>623</v>
      </c>
      <c r="H419" s="714"/>
    </row>
    <row r="420" spans="1:10" x14ac:dyDescent="0.3">
      <c r="A420" s="43" t="s">
        <v>1376</v>
      </c>
      <c r="B420" s="83" t="s">
        <v>551</v>
      </c>
      <c r="C420" s="127">
        <v>10143.916477661758</v>
      </c>
      <c r="H420" s="714"/>
    </row>
    <row r="421" spans="1:10" x14ac:dyDescent="0.3">
      <c r="A421" s="43" t="s">
        <v>1377</v>
      </c>
      <c r="B421" t="s">
        <v>893</v>
      </c>
      <c r="C421" t="s">
        <v>893</v>
      </c>
      <c r="H421" s="714"/>
    </row>
    <row r="422" spans="1:10" x14ac:dyDescent="0.3">
      <c r="A422" s="43" t="s">
        <v>1378</v>
      </c>
      <c r="B422" s="1605" t="s">
        <v>616</v>
      </c>
      <c r="C422" s="1606">
        <v>5.0000000000000001E-3</v>
      </c>
      <c r="H422" s="714"/>
    </row>
    <row r="423" spans="1:10" x14ac:dyDescent="0.3">
      <c r="A423" s="43" t="s">
        <v>1379</v>
      </c>
      <c r="B423" t="s">
        <v>893</v>
      </c>
      <c r="C423" t="s">
        <v>893</v>
      </c>
      <c r="H423" s="714"/>
    </row>
    <row r="424" spans="1:10" x14ac:dyDescent="0.3">
      <c r="A424" s="43" t="s">
        <v>1380</v>
      </c>
      <c r="B424" t="s">
        <v>893</v>
      </c>
      <c r="C424" t="s">
        <v>893</v>
      </c>
      <c r="H424" s="714"/>
    </row>
    <row r="425" spans="1:10" x14ac:dyDescent="0.3">
      <c r="A425" s="43" t="s">
        <v>1381</v>
      </c>
      <c r="B425" t="s">
        <v>415</v>
      </c>
      <c r="C425" s="381">
        <v>0.9</v>
      </c>
      <c r="H425" s="714"/>
    </row>
    <row r="426" spans="1:10" x14ac:dyDescent="0.3">
      <c r="A426" s="43"/>
      <c r="H426" s="714"/>
    </row>
    <row r="427" spans="1:10" x14ac:dyDescent="0.3">
      <c r="A427" s="43" t="s">
        <v>1382</v>
      </c>
      <c r="B427" t="s">
        <v>893</v>
      </c>
      <c r="C427" s="145" t="s">
        <v>623</v>
      </c>
    </row>
    <row r="428" spans="1:10" x14ac:dyDescent="0.3">
      <c r="A428" s="43" t="s">
        <v>1383</v>
      </c>
      <c r="B428" s="83" t="s">
        <v>551</v>
      </c>
      <c r="C428" s="127">
        <v>10143.916477661758</v>
      </c>
    </row>
    <row r="429" spans="1:10" x14ac:dyDescent="0.3">
      <c r="A429" s="43" t="s">
        <v>1384</v>
      </c>
      <c r="B429" t="s">
        <v>415</v>
      </c>
      <c r="C429" s="381">
        <v>0.5</v>
      </c>
      <c r="F429" s="1603"/>
    </row>
    <row r="430" spans="1:10" x14ac:dyDescent="0.3">
      <c r="A430" s="43" t="s">
        <v>1385</v>
      </c>
      <c r="B430" s="1605" t="s">
        <v>616</v>
      </c>
      <c r="C430" s="1606">
        <v>0.01</v>
      </c>
      <c r="F430" s="1603"/>
    </row>
    <row r="431" spans="1:10" x14ac:dyDescent="0.3">
      <c r="A431" s="43" t="s">
        <v>1386</v>
      </c>
      <c r="B431" t="s">
        <v>893</v>
      </c>
      <c r="C431" t="s">
        <v>893</v>
      </c>
    </row>
    <row r="432" spans="1:10" x14ac:dyDescent="0.3">
      <c r="A432" s="43" t="s">
        <v>1387</v>
      </c>
      <c r="B432" t="s">
        <v>893</v>
      </c>
      <c r="C432" t="s">
        <v>893</v>
      </c>
      <c r="F432" s="1603"/>
    </row>
    <row r="433" spans="1:6" x14ac:dyDescent="0.3">
      <c r="A433" s="43" t="s">
        <v>1388</v>
      </c>
      <c r="B433" t="s">
        <v>893</v>
      </c>
      <c r="C433" t="s">
        <v>893</v>
      </c>
    </row>
    <row r="434" spans="1:6" x14ac:dyDescent="0.3">
      <c r="A434" s="43"/>
      <c r="F434" s="1603"/>
    </row>
    <row r="435" spans="1:6" x14ac:dyDescent="0.3">
      <c r="A435" s="43" t="s">
        <v>1389</v>
      </c>
      <c r="B435" t="s">
        <v>893</v>
      </c>
      <c r="C435" s="145" t="s">
        <v>623</v>
      </c>
    </row>
    <row r="436" spans="1:6" x14ac:dyDescent="0.3">
      <c r="A436" s="43" t="s">
        <v>1390</v>
      </c>
      <c r="B436" s="83" t="s">
        <v>551</v>
      </c>
      <c r="C436" s="127">
        <v>10143.916477661758</v>
      </c>
      <c r="F436" s="1603"/>
    </row>
    <row r="437" spans="1:6" x14ac:dyDescent="0.3">
      <c r="A437" s="43" t="s">
        <v>1391</v>
      </c>
      <c r="B437" t="s">
        <v>415</v>
      </c>
      <c r="C437" s="381">
        <v>1</v>
      </c>
      <c r="F437" s="1604"/>
    </row>
    <row r="438" spans="1:6" x14ac:dyDescent="0.3">
      <c r="A438" s="43" t="s">
        <v>1392</v>
      </c>
      <c r="B438" s="1605" t="s">
        <v>616</v>
      </c>
      <c r="C438" s="1606">
        <v>0</v>
      </c>
      <c r="F438" s="1096"/>
    </row>
    <row r="439" spans="1:6" x14ac:dyDescent="0.3">
      <c r="A439" s="43" t="s">
        <v>1393</v>
      </c>
      <c r="B439" t="s">
        <v>893</v>
      </c>
      <c r="C439" t="s">
        <v>893</v>
      </c>
    </row>
    <row r="440" spans="1:6" x14ac:dyDescent="0.3">
      <c r="A440" s="43" t="s">
        <v>1394</v>
      </c>
      <c r="B440" t="s">
        <v>893</v>
      </c>
      <c r="C440" t="s">
        <v>893</v>
      </c>
    </row>
    <row r="441" spans="1:6" x14ac:dyDescent="0.3">
      <c r="A441" s="43" t="s">
        <v>1395</v>
      </c>
      <c r="B441" t="s">
        <v>415</v>
      </c>
      <c r="C441" s="381">
        <v>0.9</v>
      </c>
    </row>
    <row r="442" spans="1:6" x14ac:dyDescent="0.3">
      <c r="A442" s="43"/>
    </row>
    <row r="443" spans="1:6" x14ac:dyDescent="0.3">
      <c r="A443" s="43" t="s">
        <v>1396</v>
      </c>
      <c r="B443" t="s">
        <v>893</v>
      </c>
      <c r="C443" s="145" t="s">
        <v>623</v>
      </c>
    </row>
    <row r="444" spans="1:6" x14ac:dyDescent="0.3">
      <c r="A444" s="43" t="s">
        <v>1397</v>
      </c>
      <c r="B444" s="83" t="s">
        <v>551</v>
      </c>
      <c r="C444" s="127">
        <v>10143.916477661758</v>
      </c>
    </row>
    <row r="445" spans="1:6" x14ac:dyDescent="0.3">
      <c r="A445" s="43" t="s">
        <v>1398</v>
      </c>
      <c r="B445" t="s">
        <v>893</v>
      </c>
      <c r="C445" t="s">
        <v>893</v>
      </c>
    </row>
    <row r="446" spans="1:6" x14ac:dyDescent="0.3">
      <c r="A446" s="43" t="s">
        <v>1399</v>
      </c>
      <c r="B446" s="1605" t="s">
        <v>616</v>
      </c>
      <c r="C446" s="1606">
        <v>0.01</v>
      </c>
    </row>
    <row r="447" spans="1:6" x14ac:dyDescent="0.3">
      <c r="A447" s="43" t="s">
        <v>1400</v>
      </c>
      <c r="B447" t="s">
        <v>893</v>
      </c>
      <c r="C447" t="s">
        <v>893</v>
      </c>
    </row>
    <row r="448" spans="1:6" x14ac:dyDescent="0.3">
      <c r="A448" s="43" t="s">
        <v>1401</v>
      </c>
      <c r="B448" t="s">
        <v>893</v>
      </c>
      <c r="C448" t="s">
        <v>893</v>
      </c>
    </row>
    <row r="449" spans="1:5" x14ac:dyDescent="0.3">
      <c r="A449" s="43" t="s">
        <v>1402</v>
      </c>
      <c r="B449" t="s">
        <v>893</v>
      </c>
      <c r="C449" t="s">
        <v>893</v>
      </c>
    </row>
    <row r="450" spans="1:5" x14ac:dyDescent="0.3">
      <c r="A450" s="43"/>
    </row>
    <row r="451" spans="1:5" x14ac:dyDescent="0.3">
      <c r="A451" s="43" t="s">
        <v>1403</v>
      </c>
      <c r="B451" t="s">
        <v>893</v>
      </c>
      <c r="C451" t="s">
        <v>893</v>
      </c>
    </row>
    <row r="452" spans="1:5" x14ac:dyDescent="0.3">
      <c r="A452" s="43" t="s">
        <v>1404</v>
      </c>
      <c r="B452" t="s">
        <v>893</v>
      </c>
      <c r="C452" t="s">
        <v>893</v>
      </c>
    </row>
    <row r="453" spans="1:5" x14ac:dyDescent="0.3">
      <c r="A453" s="43" t="s">
        <v>1405</v>
      </c>
      <c r="B453" t="s">
        <v>893</v>
      </c>
      <c r="C453" t="s">
        <v>893</v>
      </c>
    </row>
    <row r="454" spans="1:5" x14ac:dyDescent="0.3">
      <c r="A454" s="43" t="s">
        <v>1406</v>
      </c>
      <c r="B454" t="s">
        <v>893</v>
      </c>
      <c r="C454" t="s">
        <v>893</v>
      </c>
    </row>
    <row r="455" spans="1:5" x14ac:dyDescent="0.3">
      <c r="A455" s="43" t="s">
        <v>1407</v>
      </c>
      <c r="B455" t="s">
        <v>1417</v>
      </c>
      <c r="C455" s="127">
        <f>25*365*offshore</f>
        <v>0</v>
      </c>
      <c r="E455" s="1610" t="s">
        <v>1418</v>
      </c>
    </row>
    <row r="456" spans="1:5" x14ac:dyDescent="0.3">
      <c r="A456" s="43" t="s">
        <v>1408</v>
      </c>
      <c r="B456" t="s">
        <v>415</v>
      </c>
      <c r="C456" s="127">
        <v>100</v>
      </c>
    </row>
    <row r="457" spans="1:5" x14ac:dyDescent="0.3">
      <c r="A457" s="43" t="s">
        <v>1409</v>
      </c>
      <c r="B457" t="s">
        <v>415</v>
      </c>
      <c r="C457" s="481">
        <v>0.7</v>
      </c>
    </row>
    <row r="458" spans="1:5" x14ac:dyDescent="0.3">
      <c r="A458" s="43"/>
    </row>
    <row r="459" spans="1:5" x14ac:dyDescent="0.3">
      <c r="A459" s="43" t="s">
        <v>1410</v>
      </c>
      <c r="B459" t="s">
        <v>893</v>
      </c>
      <c r="C459" t="s">
        <v>893</v>
      </c>
    </row>
    <row r="460" spans="1:5" x14ac:dyDescent="0.3">
      <c r="A460" s="43" t="s">
        <v>1411</v>
      </c>
      <c r="B460" t="s">
        <v>893</v>
      </c>
      <c r="C460" t="s">
        <v>893</v>
      </c>
    </row>
    <row r="461" spans="1:5" x14ac:dyDescent="0.3">
      <c r="A461" s="43" t="s">
        <v>1412</v>
      </c>
      <c r="B461" t="s">
        <v>893</v>
      </c>
      <c r="C461" t="s">
        <v>893</v>
      </c>
    </row>
    <row r="462" spans="1:5" x14ac:dyDescent="0.3">
      <c r="A462" s="43" t="s">
        <v>1413</v>
      </c>
      <c r="B462" t="s">
        <v>893</v>
      </c>
      <c r="C462" t="s">
        <v>893</v>
      </c>
    </row>
    <row r="463" spans="1:5" x14ac:dyDescent="0.3">
      <c r="A463" s="43" t="s">
        <v>1414</v>
      </c>
      <c r="B463" t="s">
        <v>1417</v>
      </c>
      <c r="C463" s="127">
        <f ca="1">IF(Q&gt;30,9000,3000)*offshore</f>
        <v>0</v>
      </c>
      <c r="E463" s="1610" t="s">
        <v>1418</v>
      </c>
    </row>
    <row r="464" spans="1:5" x14ac:dyDescent="0.3">
      <c r="A464" s="43" t="s">
        <v>1415</v>
      </c>
      <c r="B464" t="s">
        <v>415</v>
      </c>
      <c r="C464" s="127">
        <v>100</v>
      </c>
    </row>
    <row r="465" spans="1:17" x14ac:dyDescent="0.3">
      <c r="A465" s="43" t="s">
        <v>1416</v>
      </c>
      <c r="B465" t="s">
        <v>415</v>
      </c>
      <c r="C465" s="481">
        <v>0.7</v>
      </c>
    </row>
    <row r="467" spans="1:17" x14ac:dyDescent="0.3">
      <c r="A467" s="1584" t="s">
        <v>1421</v>
      </c>
      <c r="B467" s="1585" t="s">
        <v>892</v>
      </c>
      <c r="C467" s="1585" t="s">
        <v>288</v>
      </c>
      <c r="D467" s="1585" t="s">
        <v>1069</v>
      </c>
      <c r="E467" s="1585" t="s">
        <v>1431</v>
      </c>
      <c r="F467" s="1613" t="s">
        <v>1432</v>
      </c>
      <c r="G467" s="1613" t="s">
        <v>1422</v>
      </c>
      <c r="H467" s="1613" t="s">
        <v>1423</v>
      </c>
      <c r="I467" s="1613" t="s">
        <v>1424</v>
      </c>
      <c r="J467" s="1613" t="s">
        <v>1425</v>
      </c>
      <c r="K467" s="1613" t="s">
        <v>1426</v>
      </c>
      <c r="L467" s="1613" t="s">
        <v>1427</v>
      </c>
      <c r="M467" s="1613" t="s">
        <v>1428</v>
      </c>
      <c r="N467" s="1613" t="s">
        <v>1429</v>
      </c>
      <c r="O467" s="1613" t="s">
        <v>1430</v>
      </c>
      <c r="P467" s="1613" t="s">
        <v>1437</v>
      </c>
      <c r="Q467" s="1492"/>
    </row>
    <row r="468" spans="1:17" x14ac:dyDescent="0.3">
      <c r="A468" s="43" t="s">
        <v>1433</v>
      </c>
      <c r="B468" t="s">
        <v>893</v>
      </c>
      <c r="C468" t="s">
        <v>893</v>
      </c>
      <c r="D468" t="s">
        <v>893</v>
      </c>
      <c r="E468" t="s">
        <v>1434</v>
      </c>
      <c r="F468" s="156" t="s">
        <v>544</v>
      </c>
      <c r="G468" s="156" t="s">
        <v>413</v>
      </c>
      <c r="H468" s="155" t="s">
        <v>948</v>
      </c>
      <c r="I468" s="155" t="s">
        <v>809</v>
      </c>
      <c r="J468" s="155" t="s">
        <v>810</v>
      </c>
      <c r="K468" s="155" t="s">
        <v>1005</v>
      </c>
      <c r="L468" s="155" t="s">
        <v>1006</v>
      </c>
      <c r="M468" s="155" t="s">
        <v>1004</v>
      </c>
      <c r="N468" s="155" t="s">
        <v>1003</v>
      </c>
      <c r="O468" s="155" t="s">
        <v>1007</v>
      </c>
      <c r="P468" s="156" t="s">
        <v>1438</v>
      </c>
      <c r="Q468" s="25"/>
    </row>
    <row r="469" spans="1:17" x14ac:dyDescent="0.3">
      <c r="A469" s="40" t="s">
        <v>19</v>
      </c>
      <c r="B469" s="31" t="s">
        <v>281</v>
      </c>
      <c r="C469" s="42" t="s">
        <v>288</v>
      </c>
      <c r="D469" s="31" t="s">
        <v>1069</v>
      </c>
      <c r="E469" s="31" t="s">
        <v>1431</v>
      </c>
      <c r="F469" s="933" t="s">
        <v>1432</v>
      </c>
      <c r="G469" s="933" t="s">
        <v>1422</v>
      </c>
      <c r="H469" s="933" t="s">
        <v>1423</v>
      </c>
      <c r="I469" s="933" t="s">
        <v>1424</v>
      </c>
      <c r="J469" s="933" t="s">
        <v>1425</v>
      </c>
      <c r="K469" s="933" t="s">
        <v>1426</v>
      </c>
      <c r="L469" s="933" t="s">
        <v>1427</v>
      </c>
      <c r="M469" s="933" t="s">
        <v>1428</v>
      </c>
      <c r="N469" s="933" t="s">
        <v>1429</v>
      </c>
      <c r="O469" s="933" t="s">
        <v>1430</v>
      </c>
      <c r="P469" s="933" t="s">
        <v>1437</v>
      </c>
      <c r="Q469" s="820"/>
    </row>
    <row r="470" spans="1:17" x14ac:dyDescent="0.3">
      <c r="A470" s="43" t="s">
        <v>17</v>
      </c>
      <c r="B470" s="29" t="s">
        <v>48</v>
      </c>
      <c r="C470" s="45" t="s">
        <v>398</v>
      </c>
      <c r="D470" s="32"/>
      <c r="F470" s="492">
        <v>9</v>
      </c>
      <c r="G470" s="492">
        <v>8</v>
      </c>
      <c r="H470" s="492">
        <v>8</v>
      </c>
      <c r="I470" s="492">
        <v>8</v>
      </c>
      <c r="J470" s="492">
        <v>10</v>
      </c>
      <c r="K470" s="492">
        <v>8</v>
      </c>
      <c r="L470" s="492">
        <v>10</v>
      </c>
      <c r="M470" s="492">
        <v>12</v>
      </c>
      <c r="N470" s="492">
        <v>10</v>
      </c>
      <c r="O470" s="492">
        <v>12</v>
      </c>
      <c r="P470" s="492">
        <v>9</v>
      </c>
      <c r="Q470" s="1698"/>
    </row>
    <row r="471" spans="1:17" x14ac:dyDescent="0.3">
      <c r="A471" s="40" t="s">
        <v>290</v>
      </c>
      <c r="B471" s="31" t="s">
        <v>281</v>
      </c>
      <c r="C471" s="42" t="s">
        <v>288</v>
      </c>
      <c r="D471" s="31" t="s">
        <v>1069</v>
      </c>
      <c r="E471" s="31"/>
      <c r="F471" s="31"/>
      <c r="G471" s="31"/>
      <c r="H471" s="31"/>
      <c r="I471" s="31"/>
      <c r="J471" s="31"/>
      <c r="K471" s="31"/>
      <c r="L471" s="31"/>
      <c r="M471" s="31"/>
      <c r="N471" s="31"/>
      <c r="O471" s="31"/>
      <c r="P471" s="31"/>
      <c r="Q471" s="1554"/>
    </row>
    <row r="472" spans="1:17" x14ac:dyDescent="0.3">
      <c r="A472" s="43" t="s">
        <v>287</v>
      </c>
      <c r="B472" s="29" t="s">
        <v>51</v>
      </c>
      <c r="C472" s="45" t="s">
        <v>416</v>
      </c>
      <c r="D472" s="32"/>
      <c r="F472" s="46">
        <v>90</v>
      </c>
      <c r="G472" s="46">
        <v>80</v>
      </c>
      <c r="H472" s="46">
        <v>80</v>
      </c>
      <c r="I472" s="46">
        <v>80</v>
      </c>
      <c r="J472" s="46">
        <v>80</v>
      </c>
      <c r="K472" s="46">
        <v>200</v>
      </c>
      <c r="L472" s="46">
        <v>200</v>
      </c>
      <c r="M472" s="46">
        <v>300</v>
      </c>
      <c r="N472" s="46">
        <v>200</v>
      </c>
      <c r="O472" s="46">
        <v>300</v>
      </c>
      <c r="P472" s="46">
        <v>12</v>
      </c>
      <c r="Q472" s="1522"/>
    </row>
    <row r="473" spans="1:17" x14ac:dyDescent="0.3">
      <c r="A473" s="43" t="s">
        <v>460</v>
      </c>
      <c r="B473" s="29" t="s">
        <v>456</v>
      </c>
      <c r="C473" s="45"/>
      <c r="D473" s="32"/>
      <c r="F473" s="51">
        <v>1</v>
      </c>
      <c r="G473" s="51">
        <v>1</v>
      </c>
      <c r="H473" s="51">
        <v>1</v>
      </c>
      <c r="I473" s="51">
        <v>1</v>
      </c>
      <c r="J473" s="357">
        <v>1</v>
      </c>
      <c r="K473" s="357">
        <v>1</v>
      </c>
      <c r="L473" s="357">
        <v>1</v>
      </c>
      <c r="M473" s="357">
        <v>1</v>
      </c>
      <c r="N473" s="357">
        <v>1</v>
      </c>
      <c r="O473" s="357">
        <v>1</v>
      </c>
      <c r="P473" s="357">
        <v>1</v>
      </c>
      <c r="Q473" s="1700"/>
    </row>
    <row r="474" spans="1:17" x14ac:dyDescent="0.3">
      <c r="A474" s="43" t="s">
        <v>910</v>
      </c>
      <c r="B474" s="29" t="s">
        <v>893</v>
      </c>
      <c r="C474" s="45"/>
      <c r="D474" s="32"/>
      <c r="F474" s="1144">
        <v>15</v>
      </c>
      <c r="G474" s="672">
        <f>150/12</f>
        <v>12.5</v>
      </c>
      <c r="H474" s="1144">
        <v>12.5</v>
      </c>
      <c r="I474" s="1144">
        <v>12.5</v>
      </c>
      <c r="J474" s="1144">
        <v>12.5</v>
      </c>
      <c r="K474" s="1144">
        <v>15</v>
      </c>
      <c r="L474" s="1144">
        <v>15</v>
      </c>
      <c r="M474" s="1144">
        <v>16.666666666666668</v>
      </c>
      <c r="N474" s="1144">
        <v>20</v>
      </c>
      <c r="O474" s="1144">
        <f>80/3</f>
        <v>26.666666666666668</v>
      </c>
      <c r="P474" s="1144">
        <f>15/1.2</f>
        <v>12.5</v>
      </c>
      <c r="Q474" s="1701"/>
    </row>
    <row r="475" spans="1:17" x14ac:dyDescent="0.3">
      <c r="A475" s="342" t="s">
        <v>981</v>
      </c>
      <c r="B475" s="29"/>
      <c r="C475" s="45" t="s">
        <v>641</v>
      </c>
      <c r="D475" s="32"/>
      <c r="F475" s="1618">
        <v>0.25</v>
      </c>
      <c r="G475" s="1618">
        <v>0.25</v>
      </c>
      <c r="H475" s="1618">
        <f>0.25*H506/2.7</f>
        <v>0.25</v>
      </c>
      <c r="I475" s="498">
        <v>0.23200000000000001</v>
      </c>
      <c r="J475" s="498">
        <v>0.23200000000000001</v>
      </c>
      <c r="K475" s="498">
        <v>0.2231532709382982</v>
      </c>
      <c r="L475" s="498">
        <v>0.2231532709382982</v>
      </c>
      <c r="M475" s="498">
        <v>0.23408738327785836</v>
      </c>
      <c r="N475" s="498">
        <v>0.23408738327785836</v>
      </c>
      <c r="O475" s="498">
        <v>0.2</v>
      </c>
      <c r="P475" s="498">
        <v>0.28000000000000003</v>
      </c>
      <c r="Q475" s="1702"/>
    </row>
    <row r="476" spans="1:17" x14ac:dyDescent="0.3">
      <c r="A476" s="43" t="s">
        <v>461</v>
      </c>
      <c r="B476" s="29" t="s">
        <v>456</v>
      </c>
      <c r="C476" s="45"/>
      <c r="D476" s="32"/>
      <c r="F476" s="51">
        <v>1</v>
      </c>
      <c r="G476" s="51">
        <v>1</v>
      </c>
      <c r="H476" s="51">
        <v>1</v>
      </c>
      <c r="I476" s="51">
        <v>1</v>
      </c>
      <c r="J476" s="51">
        <v>1</v>
      </c>
      <c r="K476" s="51">
        <v>1</v>
      </c>
      <c r="L476" s="51">
        <v>1</v>
      </c>
      <c r="M476" s="51">
        <v>1</v>
      </c>
      <c r="N476" s="51">
        <v>1</v>
      </c>
      <c r="O476" s="51">
        <v>1</v>
      </c>
      <c r="P476" s="51">
        <v>1</v>
      </c>
      <c r="Q476" s="1700"/>
    </row>
    <row r="477" spans="1:17" x14ac:dyDescent="0.3">
      <c r="A477" s="43" t="s">
        <v>945</v>
      </c>
      <c r="B477" s="29" t="s">
        <v>294</v>
      </c>
      <c r="C477" s="45" t="s">
        <v>273</v>
      </c>
      <c r="D477" s="32"/>
      <c r="F477" s="46">
        <v>35</v>
      </c>
      <c r="G477" s="721">
        <v>35</v>
      </c>
      <c r="H477" s="721">
        <v>25</v>
      </c>
      <c r="I477" s="721">
        <v>1000</v>
      </c>
      <c r="J477" s="721">
        <v>1000</v>
      </c>
      <c r="K477" s="721">
        <v>5000</v>
      </c>
      <c r="L477" s="721">
        <v>5000</v>
      </c>
      <c r="M477" s="721">
        <v>5000</v>
      </c>
      <c r="N477" s="721">
        <v>15000</v>
      </c>
      <c r="O477" s="721">
        <v>15000</v>
      </c>
      <c r="P477" s="721">
        <v>15000</v>
      </c>
      <c r="Q477" s="795"/>
    </row>
    <row r="478" spans="1:17" x14ac:dyDescent="0.3">
      <c r="A478" s="43" t="s">
        <v>946</v>
      </c>
      <c r="B478" s="29" t="s">
        <v>294</v>
      </c>
      <c r="C478" s="45" t="s">
        <v>947</v>
      </c>
      <c r="D478" s="32"/>
      <c r="F478" s="46">
        <v>100</v>
      </c>
      <c r="G478" s="721">
        <v>100</v>
      </c>
      <c r="H478" s="46">
        <v>100</v>
      </c>
      <c r="I478" s="46">
        <v>100</v>
      </c>
      <c r="J478" s="46">
        <v>100</v>
      </c>
      <c r="K478" s="46">
        <v>1000</v>
      </c>
      <c r="L478" s="46">
        <v>1000</v>
      </c>
      <c r="M478" s="46">
        <v>1000</v>
      </c>
      <c r="N478" s="46">
        <v>5000</v>
      </c>
      <c r="O478" s="46">
        <v>5000</v>
      </c>
      <c r="P478" s="46">
        <v>5000</v>
      </c>
      <c r="Q478" s="1522"/>
    </row>
    <row r="479" spans="1:17" x14ac:dyDescent="0.3">
      <c r="A479" s="40" t="s">
        <v>289</v>
      </c>
      <c r="B479" s="31" t="s">
        <v>281</v>
      </c>
      <c r="C479" s="42" t="s">
        <v>288</v>
      </c>
      <c r="D479" s="31" t="s">
        <v>1069</v>
      </c>
      <c r="E479" s="31"/>
      <c r="F479" s="31"/>
      <c r="G479" s="31"/>
      <c r="H479" s="31"/>
      <c r="I479" s="31"/>
      <c r="J479" s="31"/>
      <c r="K479" s="31"/>
      <c r="L479" s="31"/>
      <c r="M479" s="31"/>
      <c r="N479" s="31"/>
      <c r="O479" s="31"/>
      <c r="P479" s="31"/>
      <c r="Q479" s="1554"/>
    </row>
    <row r="480" spans="1:17" x14ac:dyDescent="0.3">
      <c r="A480" s="43" t="s">
        <v>292</v>
      </c>
      <c r="B480" s="29" t="s">
        <v>293</v>
      </c>
      <c r="C480" s="45" t="s">
        <v>397</v>
      </c>
      <c r="D480" s="32"/>
      <c r="F480" s="46">
        <v>20</v>
      </c>
      <c r="G480" s="46">
        <v>20</v>
      </c>
      <c r="H480" s="46">
        <v>20</v>
      </c>
      <c r="I480" s="46">
        <v>20</v>
      </c>
      <c r="J480" s="46">
        <v>20</v>
      </c>
      <c r="K480" s="46">
        <v>25</v>
      </c>
      <c r="L480" s="46">
        <v>25</v>
      </c>
      <c r="M480" s="46">
        <v>25</v>
      </c>
      <c r="N480" s="46">
        <v>30</v>
      </c>
      <c r="O480" s="46">
        <v>30</v>
      </c>
      <c r="P480" s="46">
        <v>25</v>
      </c>
      <c r="Q480" s="1522"/>
    </row>
    <row r="481" spans="1:17" x14ac:dyDescent="0.3">
      <c r="A481" s="43" t="s">
        <v>501</v>
      </c>
      <c r="B481" s="29" t="s">
        <v>294</v>
      </c>
      <c r="C481" s="45" t="s">
        <v>50</v>
      </c>
      <c r="D481" s="32"/>
      <c r="F481" s="46">
        <v>30</v>
      </c>
      <c r="G481" s="46">
        <v>10</v>
      </c>
      <c r="H481" s="46">
        <v>10</v>
      </c>
      <c r="I481" s="46">
        <v>10</v>
      </c>
      <c r="J481" s="46">
        <v>10</v>
      </c>
      <c r="K481" s="46">
        <v>30</v>
      </c>
      <c r="L481" s="46">
        <v>30</v>
      </c>
      <c r="M481" s="46">
        <v>30</v>
      </c>
      <c r="N481" s="46">
        <v>100</v>
      </c>
      <c r="O481" s="46">
        <v>100</v>
      </c>
      <c r="P481" s="46">
        <v>30</v>
      </c>
      <c r="Q481" s="1522"/>
    </row>
    <row r="482" spans="1:17" x14ac:dyDescent="0.3">
      <c r="A482" s="43" t="s">
        <v>736</v>
      </c>
      <c r="B482" s="29" t="s">
        <v>465</v>
      </c>
      <c r="C482" s="45" t="s">
        <v>737</v>
      </c>
      <c r="D482" s="32"/>
      <c r="F482" s="50">
        <v>0.1</v>
      </c>
      <c r="G482" s="50">
        <v>0.1</v>
      </c>
      <c r="H482" s="50">
        <v>0.1</v>
      </c>
      <c r="I482" s="50">
        <v>0.1</v>
      </c>
      <c r="J482" s="50">
        <v>0.1</v>
      </c>
      <c r="K482" s="50">
        <v>0.08</v>
      </c>
      <c r="L482" s="50">
        <v>0.08</v>
      </c>
      <c r="M482" s="50">
        <v>0.08</v>
      </c>
      <c r="N482" s="50">
        <v>0.06</v>
      </c>
      <c r="O482" s="50">
        <v>0.06</v>
      </c>
      <c r="P482" s="50">
        <v>0.1</v>
      </c>
      <c r="Q482" s="1703"/>
    </row>
    <row r="483" spans="1:17" x14ac:dyDescent="0.3">
      <c r="A483" s="40" t="s">
        <v>454</v>
      </c>
      <c r="B483" s="31" t="s">
        <v>281</v>
      </c>
      <c r="C483" s="42" t="s">
        <v>288</v>
      </c>
      <c r="D483" s="31" t="s">
        <v>1069</v>
      </c>
      <c r="E483" s="31"/>
      <c r="F483" s="31"/>
      <c r="G483" s="31"/>
      <c r="H483" s="31"/>
      <c r="I483" s="31"/>
      <c r="J483" s="31"/>
      <c r="K483" s="31"/>
      <c r="L483" s="31"/>
      <c r="M483" s="31"/>
      <c r="N483" s="31"/>
      <c r="O483" s="31"/>
      <c r="P483" s="31"/>
      <c r="Q483" s="1554"/>
    </row>
    <row r="484" spans="1:17" x14ac:dyDescent="0.3">
      <c r="A484" s="342" t="s">
        <v>571</v>
      </c>
      <c r="B484" s="27" t="s">
        <v>551</v>
      </c>
      <c r="C484" s="56" t="s">
        <v>572</v>
      </c>
      <c r="D484" s="32"/>
      <c r="E484" s="26"/>
      <c r="F484" s="131">
        <v>50</v>
      </c>
      <c r="G484" s="131">
        <v>50</v>
      </c>
      <c r="H484" s="131">
        <v>50</v>
      </c>
      <c r="I484" s="131">
        <v>50</v>
      </c>
      <c r="J484" s="131">
        <v>50</v>
      </c>
      <c r="K484" s="131">
        <v>50</v>
      </c>
      <c r="L484" s="131">
        <v>50</v>
      </c>
      <c r="M484" s="131">
        <v>50</v>
      </c>
      <c r="N484" s="131">
        <v>50</v>
      </c>
      <c r="O484" s="131">
        <v>50</v>
      </c>
      <c r="P484" s="131">
        <v>50</v>
      </c>
      <c r="Q484" s="140"/>
    </row>
    <row r="485" spans="1:17" x14ac:dyDescent="0.3">
      <c r="A485" s="43" t="s">
        <v>735</v>
      </c>
      <c r="B485" s="29" t="s">
        <v>465</v>
      </c>
      <c r="C485" s="45" t="s">
        <v>738</v>
      </c>
      <c r="D485" s="32"/>
      <c r="F485" s="50">
        <v>0.15</v>
      </c>
      <c r="G485" s="50">
        <v>0.15</v>
      </c>
      <c r="H485" s="50">
        <v>0.15</v>
      </c>
      <c r="I485" s="50">
        <v>0.15</v>
      </c>
      <c r="J485" s="50">
        <v>0.15</v>
      </c>
      <c r="K485" s="50">
        <v>0.15</v>
      </c>
      <c r="L485" s="50">
        <v>0.15</v>
      </c>
      <c r="M485" s="50">
        <v>0.15</v>
      </c>
      <c r="N485" s="50">
        <v>0.15</v>
      </c>
      <c r="O485" s="50">
        <v>0.15</v>
      </c>
      <c r="P485" s="50">
        <v>0.15</v>
      </c>
      <c r="Q485" s="1703"/>
    </row>
    <row r="486" spans="1:17" x14ac:dyDescent="0.3">
      <c r="A486" s="43" t="s">
        <v>436</v>
      </c>
      <c r="B486" s="27" t="s">
        <v>415</v>
      </c>
      <c r="C486" s="56" t="s">
        <v>308</v>
      </c>
      <c r="D486" s="32"/>
      <c r="E486" s="26"/>
      <c r="F486" s="57">
        <v>0.2</v>
      </c>
      <c r="G486" s="57">
        <v>0.2</v>
      </c>
      <c r="H486" s="57">
        <v>0.2</v>
      </c>
      <c r="I486" s="57">
        <v>0.2</v>
      </c>
      <c r="J486" s="57">
        <v>0.2</v>
      </c>
      <c r="K486" s="57">
        <v>0.2</v>
      </c>
      <c r="L486" s="57">
        <v>0.2</v>
      </c>
      <c r="M486" s="57">
        <v>0.2</v>
      </c>
      <c r="N486" s="57">
        <v>0.2</v>
      </c>
      <c r="O486" s="57">
        <v>0.2</v>
      </c>
      <c r="P486" s="57">
        <v>0.2</v>
      </c>
      <c r="Q486" s="1704"/>
    </row>
    <row r="487" spans="1:17" x14ac:dyDescent="0.3">
      <c r="A487" s="43" t="s">
        <v>437</v>
      </c>
      <c r="B487" s="27" t="s">
        <v>51</v>
      </c>
      <c r="C487" s="56" t="s">
        <v>419</v>
      </c>
      <c r="D487" s="32"/>
      <c r="E487" s="26"/>
      <c r="F487" s="58">
        <v>60</v>
      </c>
      <c r="G487" s="58">
        <v>60</v>
      </c>
      <c r="H487" s="58">
        <v>60</v>
      </c>
      <c r="I487" s="58">
        <v>60</v>
      </c>
      <c r="J487" s="58">
        <v>60</v>
      </c>
      <c r="K487" s="58">
        <v>60</v>
      </c>
      <c r="L487" s="58">
        <v>60</v>
      </c>
      <c r="M487" s="58">
        <v>60</v>
      </c>
      <c r="N487" s="58">
        <v>60</v>
      </c>
      <c r="O487" s="58">
        <v>60</v>
      </c>
      <c r="P487" s="58">
        <v>60</v>
      </c>
      <c r="Q487" s="27"/>
    </row>
    <row r="488" spans="1:17" x14ac:dyDescent="0.3">
      <c r="A488" s="43" t="s">
        <v>438</v>
      </c>
      <c r="B488" t="s">
        <v>439</v>
      </c>
      <c r="C488" s="56" t="s">
        <v>617</v>
      </c>
      <c r="D488" s="32"/>
      <c r="F488" s="46">
        <v>150</v>
      </c>
      <c r="G488" s="46">
        <v>150</v>
      </c>
      <c r="H488" s="46">
        <v>150</v>
      </c>
      <c r="I488" s="46">
        <v>150</v>
      </c>
      <c r="J488" s="46">
        <v>150</v>
      </c>
      <c r="K488" s="46">
        <v>25</v>
      </c>
      <c r="L488" s="46">
        <v>25</v>
      </c>
      <c r="M488" s="46">
        <v>25</v>
      </c>
      <c r="N488" s="46">
        <v>25</v>
      </c>
      <c r="O488" s="46">
        <v>25</v>
      </c>
      <c r="P488" s="46">
        <v>25</v>
      </c>
      <c r="Q488" s="1522"/>
    </row>
    <row r="489" spans="1:17" x14ac:dyDescent="0.3">
      <c r="A489" s="43" t="s">
        <v>739</v>
      </c>
      <c r="B489" s="1615">
        <v>0.1</v>
      </c>
      <c r="C489" s="56" t="s">
        <v>742</v>
      </c>
      <c r="D489" s="32"/>
      <c r="F489" s="51">
        <v>0.1</v>
      </c>
      <c r="G489" s="51">
        <v>0.2</v>
      </c>
      <c r="H489" s="51">
        <v>0.2</v>
      </c>
      <c r="I489" s="51">
        <v>0.2</v>
      </c>
      <c r="J489" s="51">
        <v>0.2</v>
      </c>
      <c r="K489" s="51">
        <v>0.15</v>
      </c>
      <c r="L489" s="51">
        <v>0.15</v>
      </c>
      <c r="M489" s="51">
        <v>0.15</v>
      </c>
      <c r="N489" s="51">
        <v>0.1</v>
      </c>
      <c r="O489" s="51">
        <v>0.1</v>
      </c>
      <c r="P489" s="51">
        <v>0.1</v>
      </c>
      <c r="Q489" s="1700"/>
    </row>
    <row r="490" spans="1:17" x14ac:dyDescent="0.3">
      <c r="A490" s="43" t="s">
        <v>740</v>
      </c>
      <c r="B490" s="1615">
        <v>0.1</v>
      </c>
      <c r="C490" s="56" t="s">
        <v>741</v>
      </c>
      <c r="D490" s="32"/>
      <c r="F490" s="51">
        <v>0.1</v>
      </c>
      <c r="G490" s="51">
        <v>0.2</v>
      </c>
      <c r="H490" s="51">
        <v>0.2</v>
      </c>
      <c r="I490" s="51">
        <v>0.2</v>
      </c>
      <c r="J490" s="51">
        <v>0.2</v>
      </c>
      <c r="K490" s="51">
        <v>0.15</v>
      </c>
      <c r="L490" s="51">
        <v>0.15</v>
      </c>
      <c r="M490" s="51">
        <v>0.15</v>
      </c>
      <c r="N490" s="51">
        <v>0.1</v>
      </c>
      <c r="O490" s="51">
        <v>0.1</v>
      </c>
      <c r="P490" s="51">
        <v>0.1</v>
      </c>
      <c r="Q490" s="1700"/>
    </row>
    <row r="491" spans="1:17" x14ac:dyDescent="0.3">
      <c r="A491" s="43" t="s">
        <v>743</v>
      </c>
      <c r="B491" t="s">
        <v>415</v>
      </c>
      <c r="C491" s="56" t="s">
        <v>744</v>
      </c>
      <c r="D491" s="32"/>
      <c r="F491" s="51">
        <v>0</v>
      </c>
      <c r="G491" s="51">
        <v>0</v>
      </c>
      <c r="H491" s="51">
        <v>0</v>
      </c>
      <c r="I491" s="51">
        <v>0</v>
      </c>
      <c r="J491" s="51">
        <v>0</v>
      </c>
      <c r="K491" s="51">
        <v>0</v>
      </c>
      <c r="L491" s="51">
        <v>0</v>
      </c>
      <c r="M491" s="51">
        <v>0</v>
      </c>
      <c r="N491" s="51">
        <v>0</v>
      </c>
      <c r="O491" s="51">
        <v>0</v>
      </c>
      <c r="P491" s="51">
        <v>0</v>
      </c>
      <c r="Q491" s="1700"/>
    </row>
    <row r="492" spans="1:17" x14ac:dyDescent="0.3">
      <c r="A492" s="40" t="s">
        <v>291</v>
      </c>
      <c r="B492" s="31" t="s">
        <v>281</v>
      </c>
      <c r="C492" s="42" t="s">
        <v>288</v>
      </c>
      <c r="D492" s="31" t="s">
        <v>1069</v>
      </c>
      <c r="E492" s="31"/>
      <c r="F492" s="31"/>
      <c r="G492" s="31"/>
      <c r="H492" s="31"/>
      <c r="I492" s="31"/>
      <c r="J492" s="31"/>
      <c r="K492" s="31"/>
      <c r="L492" s="31"/>
      <c r="M492" s="31"/>
      <c r="N492" s="31"/>
      <c r="O492" s="31"/>
      <c r="P492" s="31"/>
      <c r="Q492" s="1554"/>
    </row>
    <row r="493" spans="1:17" x14ac:dyDescent="0.3">
      <c r="A493" s="43" t="s">
        <v>902</v>
      </c>
      <c r="B493" s="29"/>
      <c r="D493" s="30" t="s">
        <v>143</v>
      </c>
      <c r="F493" s="46">
        <v>1</v>
      </c>
      <c r="G493" s="46">
        <v>1</v>
      </c>
      <c r="H493" s="560">
        <v>0.95</v>
      </c>
      <c r="I493" s="46">
        <v>1</v>
      </c>
      <c r="J493" s="46">
        <v>1</v>
      </c>
      <c r="K493" s="46">
        <v>1</v>
      </c>
      <c r="L493" s="46">
        <v>1</v>
      </c>
      <c r="M493" s="46">
        <v>1</v>
      </c>
      <c r="N493" s="46">
        <v>1</v>
      </c>
      <c r="O493" s="46"/>
      <c r="P493" s="46">
        <v>0.95</v>
      </c>
      <c r="Q493" s="1522"/>
    </row>
    <row r="494" spans="1:17" x14ac:dyDescent="0.3">
      <c r="A494" s="356" t="s">
        <v>142</v>
      </c>
      <c r="B494" s="1616"/>
      <c r="C494" s="76"/>
      <c r="D494" s="75"/>
      <c r="E494" s="76"/>
      <c r="F494" s="357">
        <v>0.95</v>
      </c>
      <c r="G494" s="357">
        <v>0.95</v>
      </c>
      <c r="H494" s="357">
        <v>0.95</v>
      </c>
      <c r="I494" s="357">
        <v>0.95</v>
      </c>
      <c r="J494" s="357">
        <v>0.95</v>
      </c>
      <c r="K494" s="357">
        <v>0.95</v>
      </c>
      <c r="L494" s="357">
        <v>0.95</v>
      </c>
      <c r="M494" s="357">
        <v>0.95</v>
      </c>
      <c r="N494" s="357">
        <v>0.95</v>
      </c>
      <c r="O494" s="357">
        <v>0.95</v>
      </c>
      <c r="P494" s="357">
        <v>1</v>
      </c>
      <c r="Q494" s="1699"/>
    </row>
    <row r="495" spans="1:17" x14ac:dyDescent="0.3">
      <c r="A495" s="356" t="s">
        <v>0</v>
      </c>
      <c r="B495" s="1616"/>
      <c r="C495" s="76"/>
      <c r="D495" s="345" t="s">
        <v>209</v>
      </c>
      <c r="E495" s="76"/>
      <c r="F495" s="357">
        <v>0.95</v>
      </c>
      <c r="G495" s="357">
        <v>0.95</v>
      </c>
      <c r="H495" s="357">
        <v>0.95</v>
      </c>
      <c r="I495" s="357">
        <v>0.95</v>
      </c>
      <c r="J495" s="357">
        <v>0.95</v>
      </c>
      <c r="K495" s="357">
        <v>0.95</v>
      </c>
      <c r="L495" s="357">
        <v>0.95</v>
      </c>
      <c r="M495" s="357">
        <v>0.95</v>
      </c>
      <c r="N495" s="357">
        <v>0.95</v>
      </c>
      <c r="O495" s="357">
        <v>0.95</v>
      </c>
      <c r="P495" s="357">
        <v>1</v>
      </c>
      <c r="Q495" s="1699"/>
    </row>
    <row r="496" spans="1:17" x14ac:dyDescent="0.3">
      <c r="A496" s="43" t="s">
        <v>95</v>
      </c>
      <c r="B496" s="105" t="s">
        <v>414</v>
      </c>
      <c r="C496" s="53"/>
      <c r="D496" s="60"/>
      <c r="F496" s="357">
        <v>0.2</v>
      </c>
      <c r="G496" s="357">
        <v>0</v>
      </c>
      <c r="H496" s="357">
        <v>0.2</v>
      </c>
      <c r="I496" s="357">
        <v>0.2</v>
      </c>
      <c r="J496" s="357">
        <v>0.2</v>
      </c>
      <c r="K496" s="357">
        <v>0.2</v>
      </c>
      <c r="L496" s="357">
        <v>0.2</v>
      </c>
      <c r="M496" s="357">
        <v>0.2</v>
      </c>
      <c r="N496" s="357">
        <v>0.2</v>
      </c>
      <c r="O496" s="357">
        <v>0.2</v>
      </c>
      <c r="P496" s="357">
        <v>0</v>
      </c>
      <c r="Q496" s="1699"/>
    </row>
    <row r="497" spans="1:21" x14ac:dyDescent="0.3">
      <c r="A497" s="43" t="s">
        <v>94</v>
      </c>
      <c r="B497" s="105" t="s">
        <v>414</v>
      </c>
      <c r="C497" s="53"/>
      <c r="D497" s="60"/>
      <c r="F497" s="357">
        <v>0.14374999999999999</v>
      </c>
      <c r="G497" s="357">
        <v>0</v>
      </c>
      <c r="H497" s="357">
        <v>0</v>
      </c>
      <c r="I497" s="357">
        <v>0</v>
      </c>
      <c r="J497" s="357">
        <v>0</v>
      </c>
      <c r="K497" s="357">
        <v>0</v>
      </c>
      <c r="L497" s="357">
        <v>0</v>
      </c>
      <c r="M497" s="357">
        <v>0</v>
      </c>
      <c r="N497" s="357">
        <v>0.14374999999999999</v>
      </c>
      <c r="O497" s="357">
        <v>0.14374999999999999</v>
      </c>
      <c r="P497" s="357">
        <v>0</v>
      </c>
      <c r="Q497" s="1699"/>
    </row>
    <row r="498" spans="1:21" x14ac:dyDescent="0.3">
      <c r="A498" s="43" t="s">
        <v>811</v>
      </c>
      <c r="B498" s="105"/>
      <c r="C498" s="53"/>
      <c r="D498" s="60"/>
      <c r="F498" s="357">
        <v>0.6</v>
      </c>
      <c r="G498" s="357">
        <v>0.6</v>
      </c>
      <c r="H498" s="357">
        <v>0.6</v>
      </c>
      <c r="I498" s="357">
        <v>0.6</v>
      </c>
      <c r="J498" s="357">
        <v>0.6</v>
      </c>
      <c r="K498" s="357">
        <v>0.72499999999999998</v>
      </c>
      <c r="L498" s="357">
        <v>0.72499999999999998</v>
      </c>
      <c r="M498" s="357">
        <v>0.72499999999999998</v>
      </c>
      <c r="N498" s="357">
        <v>0.85</v>
      </c>
      <c r="O498" s="357">
        <v>0.85</v>
      </c>
      <c r="P498" s="357">
        <v>0.85</v>
      </c>
      <c r="Q498" s="1699"/>
    </row>
    <row r="499" spans="1:21" x14ac:dyDescent="0.3">
      <c r="A499" s="43" t="s">
        <v>96</v>
      </c>
      <c r="B499" s="105" t="s">
        <v>414</v>
      </c>
      <c r="C499" s="53"/>
      <c r="D499" s="60"/>
      <c r="F499" s="357">
        <v>0.05</v>
      </c>
      <c r="G499" s="357">
        <v>0</v>
      </c>
      <c r="H499" s="357">
        <v>0</v>
      </c>
      <c r="I499" s="357">
        <v>0</v>
      </c>
      <c r="J499" s="357">
        <v>0</v>
      </c>
      <c r="K499" s="357">
        <v>0.05</v>
      </c>
      <c r="L499" s="357">
        <v>0.05</v>
      </c>
      <c r="M499" s="357">
        <v>0.05</v>
      </c>
      <c r="N499" s="357">
        <v>0.05</v>
      </c>
      <c r="O499" s="357">
        <v>0.05</v>
      </c>
      <c r="P499" s="357">
        <v>0</v>
      </c>
      <c r="Q499" s="1699"/>
    </row>
    <row r="500" spans="1:21" x14ac:dyDescent="0.3">
      <c r="A500" s="43" t="s">
        <v>98</v>
      </c>
      <c r="B500" s="105" t="s">
        <v>414</v>
      </c>
      <c r="C500" s="53"/>
      <c r="D500" s="60"/>
      <c r="F500" s="357">
        <v>0.2</v>
      </c>
      <c r="G500" s="357">
        <v>0</v>
      </c>
      <c r="H500" s="357">
        <v>0</v>
      </c>
      <c r="I500" s="357">
        <v>0</v>
      </c>
      <c r="J500" s="357">
        <v>0</v>
      </c>
      <c r="K500" s="357">
        <v>0.05</v>
      </c>
      <c r="L500" s="357">
        <v>0.05</v>
      </c>
      <c r="M500" s="357">
        <v>0.05</v>
      </c>
      <c r="N500" s="357">
        <v>0.2</v>
      </c>
      <c r="O500" s="357">
        <v>0.2</v>
      </c>
      <c r="P500" s="357">
        <v>0</v>
      </c>
      <c r="Q500" s="1699"/>
    </row>
    <row r="501" spans="1:21" x14ac:dyDescent="0.3">
      <c r="A501" s="43" t="s">
        <v>172</v>
      </c>
      <c r="B501" s="29" t="s">
        <v>173</v>
      </c>
      <c r="C501" s="53"/>
      <c r="D501" s="33"/>
      <c r="F501" s="46">
        <v>0</v>
      </c>
      <c r="G501" s="46">
        <v>0</v>
      </c>
      <c r="H501" s="46">
        <f>Performance!AJ114</f>
        <v>4000</v>
      </c>
      <c r="I501" s="46">
        <v>0</v>
      </c>
      <c r="J501" s="46">
        <v>0</v>
      </c>
      <c r="K501" s="46">
        <v>0</v>
      </c>
      <c r="L501" s="46">
        <v>0</v>
      </c>
      <c r="M501" s="46">
        <v>0</v>
      </c>
      <c r="N501" s="46">
        <v>0</v>
      </c>
      <c r="O501" s="46">
        <v>0</v>
      </c>
      <c r="P501" s="46">
        <v>0</v>
      </c>
      <c r="Q501" s="1522"/>
    </row>
    <row r="502" spans="1:21" x14ac:dyDescent="0.3">
      <c r="A502" s="43" t="s">
        <v>4</v>
      </c>
      <c r="B502" s="29"/>
      <c r="C502" s="53" t="s">
        <v>272</v>
      </c>
      <c r="D502" s="60"/>
      <c r="F502" s="62">
        <v>2.5</v>
      </c>
      <c r="G502" s="62">
        <v>2.5</v>
      </c>
      <c r="H502" s="62">
        <f>Performance!AJ115</f>
        <v>2.5</v>
      </c>
      <c r="I502" s="62">
        <v>2.5</v>
      </c>
      <c r="J502" s="62">
        <v>2.5</v>
      </c>
      <c r="K502" s="62">
        <v>2.5</v>
      </c>
      <c r="L502" s="62">
        <v>2.5</v>
      </c>
      <c r="M502" s="62">
        <v>2.5</v>
      </c>
      <c r="N502" s="62">
        <v>2.5</v>
      </c>
      <c r="O502" s="62">
        <v>2.5</v>
      </c>
      <c r="P502" s="62">
        <v>2.5</v>
      </c>
      <c r="Q502" s="1706"/>
    </row>
    <row r="503" spans="1:21" x14ac:dyDescent="0.3">
      <c r="A503" s="43" t="s">
        <v>174</v>
      </c>
      <c r="B503" s="29" t="s">
        <v>175</v>
      </c>
      <c r="C503" s="53"/>
      <c r="D503" s="33"/>
      <c r="F503" s="46">
        <v>100</v>
      </c>
      <c r="G503" s="46">
        <v>100</v>
      </c>
      <c r="H503" s="46">
        <v>100</v>
      </c>
      <c r="I503" s="46">
        <v>100</v>
      </c>
      <c r="J503" s="46">
        <v>100</v>
      </c>
      <c r="K503" s="46">
        <v>100</v>
      </c>
      <c r="L503" s="46">
        <v>100</v>
      </c>
      <c r="M503" s="46">
        <v>100</v>
      </c>
      <c r="N503" s="46">
        <v>100</v>
      </c>
      <c r="O503" s="46">
        <v>100</v>
      </c>
      <c r="P503" s="46">
        <v>100</v>
      </c>
      <c r="Q503" s="1522"/>
    </row>
    <row r="504" spans="1:21" x14ac:dyDescent="0.3">
      <c r="A504" s="43" t="s">
        <v>104</v>
      </c>
      <c r="B504" s="29"/>
      <c r="C504" s="53"/>
      <c r="D504" s="60"/>
      <c r="F504" s="46">
        <v>2</v>
      </c>
      <c r="G504" s="46">
        <v>2</v>
      </c>
      <c r="H504" s="46">
        <v>2</v>
      </c>
      <c r="I504" s="46">
        <v>2</v>
      </c>
      <c r="J504" s="46">
        <v>2</v>
      </c>
      <c r="K504" s="46">
        <v>1.5</v>
      </c>
      <c r="L504" s="62">
        <v>1.5</v>
      </c>
      <c r="M504" s="46">
        <v>1.5</v>
      </c>
      <c r="N504" s="46">
        <v>1.5</v>
      </c>
      <c r="O504" s="46">
        <v>1.5</v>
      </c>
      <c r="P504" s="62">
        <v>1.5</v>
      </c>
      <c r="Q504" s="1522"/>
      <c r="S504" s="1967"/>
      <c r="T504" s="1972" t="s">
        <v>1736</v>
      </c>
      <c r="U504" s="1973" t="s">
        <v>1434</v>
      </c>
    </row>
    <row r="505" spans="1:21" x14ac:dyDescent="0.3">
      <c r="A505" s="462" t="s">
        <v>103</v>
      </c>
      <c r="B505" s="1617"/>
      <c r="C505" s="465"/>
      <c r="D505" s="244"/>
      <c r="E505" s="466">
        <v>0.81</v>
      </c>
      <c r="F505" s="466">
        <v>0.81</v>
      </c>
      <c r="G505" s="498">
        <v>0.81</v>
      </c>
      <c r="H505" s="498">
        <v>0.9</v>
      </c>
      <c r="I505" s="498">
        <v>0.85</v>
      </c>
      <c r="J505" s="498">
        <v>0.85</v>
      </c>
      <c r="K505" s="498">
        <v>0.9</v>
      </c>
      <c r="L505" s="498">
        <v>0.9</v>
      </c>
      <c r="M505" s="498">
        <v>0.9</v>
      </c>
      <c r="N505" s="498">
        <v>0.9</v>
      </c>
      <c r="O505" s="498">
        <v>0.9</v>
      </c>
      <c r="P505" s="498">
        <v>0.81</v>
      </c>
      <c r="Q505" s="1702"/>
      <c r="S505" s="1968" t="s">
        <v>103</v>
      </c>
      <c r="T505" s="23">
        <v>0.88</v>
      </c>
      <c r="U505" s="1969">
        <v>0.88</v>
      </c>
    </row>
    <row r="506" spans="1:21" x14ac:dyDescent="0.3">
      <c r="A506" s="462" t="s">
        <v>765</v>
      </c>
      <c r="B506" s="1617"/>
      <c r="C506" s="465"/>
      <c r="D506" s="244"/>
      <c r="E506" s="466">
        <v>2.5</v>
      </c>
      <c r="F506" s="466">
        <v>2.7</v>
      </c>
      <c r="G506" s="466">
        <v>2.7</v>
      </c>
      <c r="H506" s="466">
        <f>Performance!AJ117</f>
        <v>2.7</v>
      </c>
      <c r="I506" s="498">
        <v>2.7</v>
      </c>
      <c r="J506" s="498">
        <v>2.7</v>
      </c>
      <c r="K506" s="498">
        <v>2.7</v>
      </c>
      <c r="L506" s="498">
        <v>2.7</v>
      </c>
      <c r="M506" s="498">
        <v>2.7</v>
      </c>
      <c r="N506" s="498">
        <v>2.7</v>
      </c>
      <c r="O506" s="498">
        <v>2.7</v>
      </c>
      <c r="P506" s="498">
        <v>2.5</v>
      </c>
      <c r="Q506" s="1702"/>
      <c r="S506" s="1974" t="s">
        <v>7</v>
      </c>
      <c r="T506" s="23">
        <v>2.54</v>
      </c>
      <c r="U506" s="1969">
        <v>2.5</v>
      </c>
    </row>
    <row r="507" spans="1:21" x14ac:dyDescent="0.3">
      <c r="A507" s="462" t="s">
        <v>766</v>
      </c>
      <c r="B507" s="1617"/>
      <c r="C507" s="465"/>
      <c r="D507" s="244"/>
      <c r="E507" s="466">
        <v>0.84</v>
      </c>
      <c r="F507" s="466">
        <v>0.95</v>
      </c>
      <c r="G507" s="466">
        <v>0.84</v>
      </c>
      <c r="H507" s="466">
        <v>0.9</v>
      </c>
      <c r="I507" s="466">
        <v>0.84</v>
      </c>
      <c r="J507" s="466">
        <v>0.84</v>
      </c>
      <c r="K507" s="466">
        <v>0.9</v>
      </c>
      <c r="L507" s="466">
        <v>0.9</v>
      </c>
      <c r="M507" s="466">
        <v>0.9</v>
      </c>
      <c r="N507" s="466">
        <v>0.95</v>
      </c>
      <c r="O507" s="466">
        <v>0.95</v>
      </c>
      <c r="P507" s="466">
        <v>0.84</v>
      </c>
      <c r="Q507" s="1707"/>
      <c r="S507" s="1974" t="s">
        <v>131</v>
      </c>
      <c r="T507" s="23">
        <v>4.9090000000000002E-2</v>
      </c>
      <c r="U507" s="1969">
        <v>0.65</v>
      </c>
    </row>
    <row r="508" spans="1:21" x14ac:dyDescent="0.3">
      <c r="A508" s="43" t="s">
        <v>7</v>
      </c>
      <c r="B508" s="29"/>
      <c r="C508" s="53"/>
      <c r="D508" s="32"/>
      <c r="E508" s="1619"/>
      <c r="F508" s="560">
        <f>F506*F507</f>
        <v>2.5649999999999999</v>
      </c>
      <c r="G508" s="560">
        <f t="shared" ref="G508:O508" si="0">G506*G507</f>
        <v>2.2680000000000002</v>
      </c>
      <c r="H508" s="560">
        <f t="shared" si="0"/>
        <v>2.4300000000000002</v>
      </c>
      <c r="I508" s="560">
        <f t="shared" si="0"/>
        <v>2.2680000000000002</v>
      </c>
      <c r="J508" s="560">
        <f t="shared" si="0"/>
        <v>2.2680000000000002</v>
      </c>
      <c r="K508" s="560">
        <f t="shared" si="0"/>
        <v>2.4300000000000002</v>
      </c>
      <c r="L508" s="560">
        <f t="shared" si="0"/>
        <v>2.4300000000000002</v>
      </c>
      <c r="M508" s="560">
        <f t="shared" si="0"/>
        <v>2.4300000000000002</v>
      </c>
      <c r="N508" s="560">
        <f t="shared" si="0"/>
        <v>2.5649999999999999</v>
      </c>
      <c r="O508" s="560">
        <f t="shared" si="0"/>
        <v>2.5649999999999999</v>
      </c>
      <c r="P508" s="560">
        <v>2.4</v>
      </c>
      <c r="Q508" s="1708"/>
      <c r="S508" s="1974" t="s">
        <v>132</v>
      </c>
      <c r="T508" s="23">
        <v>0.92095000000000005</v>
      </c>
      <c r="U508" s="1969">
        <v>0.6</v>
      </c>
    </row>
    <row r="509" spans="1:21" x14ac:dyDescent="0.3">
      <c r="A509" s="43" t="s">
        <v>131</v>
      </c>
      <c r="B509" s="29"/>
      <c r="C509" s="53"/>
      <c r="D509" s="32"/>
      <c r="E509" s="560">
        <v>0.65</v>
      </c>
      <c r="F509" s="67">
        <v>4.9090000000000002E-2</v>
      </c>
      <c r="G509" s="67">
        <v>4.9090000000000002E-2</v>
      </c>
      <c r="H509" s="67">
        <v>4.9090000000000002E-2</v>
      </c>
      <c r="I509" s="67">
        <v>4.9090000000000002E-2</v>
      </c>
      <c r="J509" s="67">
        <v>4.9090000000000002E-2</v>
      </c>
      <c r="K509" s="67">
        <v>4.9090000000000002E-2</v>
      </c>
      <c r="L509" s="67">
        <v>4.9090000000000002E-2</v>
      </c>
      <c r="M509" s="67">
        <v>4.9090000000000002E-2</v>
      </c>
      <c r="N509" s="67">
        <v>4.9090000000000002E-2</v>
      </c>
      <c r="O509" s="67">
        <v>4.9090000000000002E-2</v>
      </c>
      <c r="P509" s="67">
        <v>0.65</v>
      </c>
      <c r="Q509" s="1709"/>
      <c r="S509" s="1975" t="s">
        <v>9</v>
      </c>
      <c r="T509" s="1970">
        <v>6.4570000000000001E-3</v>
      </c>
      <c r="U509" s="1971">
        <v>5.6000000000000001E-2</v>
      </c>
    </row>
    <row r="510" spans="1:21" x14ac:dyDescent="0.3">
      <c r="A510" s="43" t="s">
        <v>132</v>
      </c>
      <c r="B510" s="29"/>
      <c r="C510" s="53"/>
      <c r="D510" s="32"/>
      <c r="E510" s="560">
        <v>0.6</v>
      </c>
      <c r="F510" s="67">
        <v>0.92095000000000005</v>
      </c>
      <c r="G510" s="67">
        <v>0.92095000000000005</v>
      </c>
      <c r="H510" s="67">
        <v>0.92095000000000005</v>
      </c>
      <c r="I510" s="67">
        <v>0.92095000000000005</v>
      </c>
      <c r="J510" s="67">
        <v>0.92095000000000005</v>
      </c>
      <c r="K510" s="67">
        <v>0.92095000000000005</v>
      </c>
      <c r="L510" s="67">
        <v>0.92095000000000005</v>
      </c>
      <c r="M510" s="67">
        <v>0.92095000000000005</v>
      </c>
      <c r="N510" s="67">
        <v>0.92095000000000005</v>
      </c>
      <c r="O510" s="67">
        <v>0.92095000000000005</v>
      </c>
      <c r="P510" s="67">
        <v>0.6</v>
      </c>
      <c r="Q510" s="1709"/>
    </row>
    <row r="511" spans="1:21" x14ac:dyDescent="0.3">
      <c r="A511" s="43" t="s">
        <v>9</v>
      </c>
      <c r="B511" s="29"/>
      <c r="C511" s="53"/>
      <c r="D511" s="32"/>
      <c r="E511" s="560">
        <v>5.6000000000000001E-2</v>
      </c>
      <c r="F511" s="67">
        <v>6.4570000000000001E-3</v>
      </c>
      <c r="G511" s="67">
        <v>6.4570000000000001E-3</v>
      </c>
      <c r="H511" s="67">
        <v>6.4570000000000001E-3</v>
      </c>
      <c r="I511" s="67">
        <v>6.4570000000000001E-3</v>
      </c>
      <c r="J511" s="67">
        <v>6.4570000000000001E-3</v>
      </c>
      <c r="K511" s="67">
        <v>6.4570000000000001E-3</v>
      </c>
      <c r="L511" s="67">
        <v>6.4570000000000001E-3</v>
      </c>
      <c r="M511" s="67">
        <v>6.4570000000000001E-3</v>
      </c>
      <c r="N511" s="67">
        <v>6.4570000000000001E-3</v>
      </c>
      <c r="O511" s="67">
        <v>6.4570000000000001E-3</v>
      </c>
      <c r="P511" s="67">
        <v>0.06</v>
      </c>
      <c r="Q511" s="1709"/>
    </row>
    <row r="512" spans="1:21" x14ac:dyDescent="0.3">
      <c r="A512" s="43" t="s">
        <v>10</v>
      </c>
      <c r="B512" s="29"/>
      <c r="C512" s="53"/>
      <c r="D512" s="32"/>
      <c r="F512" s="64">
        <v>1.2</v>
      </c>
      <c r="G512" s="64">
        <v>1.2</v>
      </c>
      <c r="H512" s="64">
        <f>Performance!AJ113</f>
        <v>1.2</v>
      </c>
      <c r="I512" s="64">
        <v>1.2</v>
      </c>
      <c r="J512" s="64">
        <v>1.2</v>
      </c>
      <c r="K512" s="64">
        <v>1.2</v>
      </c>
      <c r="L512" s="64">
        <v>1.2</v>
      </c>
      <c r="M512" s="64">
        <v>1.2</v>
      </c>
      <c r="N512" s="64">
        <v>1.2</v>
      </c>
      <c r="O512" s="64">
        <v>1.2</v>
      </c>
      <c r="P512" s="64">
        <v>1.2</v>
      </c>
      <c r="Q512" s="1710"/>
    </row>
    <row r="513" spans="1:17" x14ac:dyDescent="0.3">
      <c r="A513" s="43" t="s">
        <v>105</v>
      </c>
      <c r="B513" s="29" t="s">
        <v>106</v>
      </c>
      <c r="C513" s="53"/>
      <c r="D513" s="32"/>
      <c r="F513" s="69">
        <v>700000000</v>
      </c>
      <c r="G513" s="69">
        <v>700000000</v>
      </c>
      <c r="H513" s="69">
        <f>Performance!AJ112</f>
        <v>700000000</v>
      </c>
      <c r="I513" s="69">
        <v>700000000</v>
      </c>
      <c r="J513" s="69">
        <v>700000000</v>
      </c>
      <c r="K513" s="69">
        <v>700000000</v>
      </c>
      <c r="L513" s="69">
        <v>700000000</v>
      </c>
      <c r="M513" s="69">
        <v>700000000</v>
      </c>
      <c r="N513" s="69">
        <v>700000000</v>
      </c>
      <c r="O513" s="69">
        <v>700000000</v>
      </c>
      <c r="P513" s="69">
        <v>700000000</v>
      </c>
      <c r="Q513" s="1711"/>
    </row>
    <row r="514" spans="1:17" x14ac:dyDescent="0.3">
      <c r="A514" s="43" t="s">
        <v>36</v>
      </c>
      <c r="B514" s="29" t="s">
        <v>47</v>
      </c>
      <c r="C514" s="53" t="s">
        <v>420</v>
      </c>
      <c r="D514" s="32"/>
      <c r="F514" s="46">
        <v>28</v>
      </c>
      <c r="G514" s="46">
        <v>28</v>
      </c>
      <c r="H514" s="46">
        <v>22</v>
      </c>
      <c r="I514" s="46">
        <v>22</v>
      </c>
      <c r="J514" s="46">
        <v>22</v>
      </c>
      <c r="K514" s="46">
        <v>22</v>
      </c>
      <c r="L514" s="46">
        <v>22</v>
      </c>
      <c r="M514" s="46">
        <v>22</v>
      </c>
      <c r="N514" s="46">
        <v>22</v>
      </c>
      <c r="O514" s="46">
        <v>22</v>
      </c>
      <c r="P514" s="46">
        <v>22</v>
      </c>
      <c r="Q514" s="1522"/>
    </row>
    <row r="515" spans="1:17" x14ac:dyDescent="0.3">
      <c r="A515" s="43" t="s">
        <v>761</v>
      </c>
      <c r="B515" s="105"/>
      <c r="C515" s="344"/>
      <c r="D515" s="54" t="s">
        <v>762</v>
      </c>
      <c r="E515" s="70"/>
      <c r="F515" s="46">
        <v>0</v>
      </c>
      <c r="G515" s="46">
        <v>0</v>
      </c>
      <c r="H515" s="46">
        <v>0</v>
      </c>
      <c r="I515" s="46">
        <v>0</v>
      </c>
      <c r="J515" s="46">
        <v>0</v>
      </c>
      <c r="K515" s="46">
        <v>0</v>
      </c>
      <c r="L515" s="46">
        <v>0</v>
      </c>
      <c r="M515" s="46">
        <v>0</v>
      </c>
      <c r="N515" s="46">
        <v>0</v>
      </c>
      <c r="O515" s="46">
        <v>0</v>
      </c>
      <c r="P515" s="46">
        <v>0</v>
      </c>
      <c r="Q515" s="1522"/>
    </row>
    <row r="516" spans="1:17" x14ac:dyDescent="0.3">
      <c r="A516" s="43" t="s">
        <v>763</v>
      </c>
      <c r="B516" s="105" t="s">
        <v>175</v>
      </c>
      <c r="C516" s="344"/>
      <c r="D516" s="54" t="s">
        <v>764</v>
      </c>
      <c r="E516" s="70"/>
      <c r="F516" s="46">
        <v>80</v>
      </c>
      <c r="G516" s="46">
        <v>80</v>
      </c>
      <c r="H516" s="46">
        <v>80</v>
      </c>
      <c r="I516" s="46">
        <v>80</v>
      </c>
      <c r="J516" s="46">
        <v>80</v>
      </c>
      <c r="K516" s="46">
        <v>80</v>
      </c>
      <c r="L516" s="46">
        <v>80</v>
      </c>
      <c r="M516" s="46">
        <v>80</v>
      </c>
      <c r="N516" s="46">
        <v>80</v>
      </c>
      <c r="O516" s="46">
        <v>80</v>
      </c>
      <c r="P516" s="46">
        <v>80</v>
      </c>
      <c r="Q516" s="1522"/>
    </row>
    <row r="517" spans="1:17" x14ac:dyDescent="0.3">
      <c r="A517" s="43" t="s">
        <v>37</v>
      </c>
      <c r="B517" s="29" t="s">
        <v>47</v>
      </c>
      <c r="C517" s="53"/>
      <c r="D517" s="32"/>
      <c r="F517" s="46">
        <v>20</v>
      </c>
      <c r="G517" s="46">
        <v>20</v>
      </c>
      <c r="H517" s="46">
        <v>12</v>
      </c>
      <c r="I517" s="46">
        <v>12</v>
      </c>
      <c r="J517" s="46">
        <v>12</v>
      </c>
      <c r="K517" s="46">
        <v>12</v>
      </c>
      <c r="L517" s="46">
        <v>12</v>
      </c>
      <c r="M517" s="46">
        <v>12</v>
      </c>
      <c r="N517" s="46">
        <v>12</v>
      </c>
      <c r="O517" s="46">
        <v>12</v>
      </c>
      <c r="P517" s="46">
        <v>12</v>
      </c>
      <c r="Q517" s="1522"/>
    </row>
    <row r="518" spans="1:17" x14ac:dyDescent="0.3">
      <c r="A518" s="43" t="s">
        <v>12</v>
      </c>
      <c r="B518" s="1616" t="s">
        <v>415</v>
      </c>
      <c r="C518" s="75"/>
      <c r="D518" s="76"/>
      <c r="E518" s="77"/>
      <c r="F518" s="51">
        <v>0.95</v>
      </c>
      <c r="G518" s="51">
        <v>0.95</v>
      </c>
      <c r="H518" s="51">
        <v>0.95</v>
      </c>
      <c r="I518" s="51">
        <v>0.95</v>
      </c>
      <c r="J518" s="51">
        <v>0.95</v>
      </c>
      <c r="K518" s="51">
        <v>0.95</v>
      </c>
      <c r="L518" s="51">
        <v>0.95</v>
      </c>
      <c r="M518" s="51">
        <v>0.95</v>
      </c>
      <c r="N518" s="51">
        <v>0.95</v>
      </c>
      <c r="O518" s="51">
        <v>0.95</v>
      </c>
      <c r="P518" s="51">
        <v>0.95</v>
      </c>
      <c r="Q518" s="1700"/>
    </row>
    <row r="519" spans="1:17" x14ac:dyDescent="0.3">
      <c r="A519" s="43" t="s">
        <v>156</v>
      </c>
      <c r="B519" s="29" t="s">
        <v>48</v>
      </c>
      <c r="C519" s="53"/>
      <c r="D519" s="32"/>
      <c r="E519" s="70"/>
      <c r="F519" s="46" t="s">
        <v>50</v>
      </c>
      <c r="G519" s="46" t="s">
        <v>50</v>
      </c>
      <c r="H519" s="46" t="s">
        <v>50</v>
      </c>
      <c r="I519" s="46" t="s">
        <v>50</v>
      </c>
      <c r="J519" s="46" t="s">
        <v>50</v>
      </c>
      <c r="K519" s="46" t="s">
        <v>50</v>
      </c>
      <c r="L519" s="46" t="s">
        <v>50</v>
      </c>
      <c r="M519" s="46" t="s">
        <v>50</v>
      </c>
      <c r="N519" s="46" t="s">
        <v>50</v>
      </c>
      <c r="O519" s="46" t="s">
        <v>50</v>
      </c>
      <c r="P519" s="46" t="s">
        <v>50</v>
      </c>
      <c r="Q519" s="1522"/>
    </row>
    <row r="520" spans="1:17" x14ac:dyDescent="0.3">
      <c r="A520" s="43" t="s">
        <v>155</v>
      </c>
      <c r="B520" s="105"/>
      <c r="C520" s="53"/>
      <c r="D520" s="32"/>
      <c r="E520" s="70"/>
      <c r="F520" s="121">
        <v>2.1800000000000002</v>
      </c>
      <c r="G520" s="121">
        <v>4</v>
      </c>
      <c r="H520" s="121">
        <v>4</v>
      </c>
      <c r="I520" s="121">
        <v>4</v>
      </c>
      <c r="J520" s="121">
        <v>4</v>
      </c>
      <c r="K520" s="121">
        <v>4</v>
      </c>
      <c r="L520" s="121">
        <v>4</v>
      </c>
      <c r="M520" s="121">
        <v>4</v>
      </c>
      <c r="N520" s="121">
        <v>4</v>
      </c>
      <c r="O520" s="121">
        <v>4</v>
      </c>
      <c r="P520" s="121">
        <v>4</v>
      </c>
      <c r="Q520" s="1712"/>
    </row>
    <row r="521" spans="1:17" x14ac:dyDescent="0.3">
      <c r="A521" s="43" t="s">
        <v>30</v>
      </c>
      <c r="B521" s="29" t="s">
        <v>48</v>
      </c>
      <c r="C521" s="53"/>
      <c r="D521" s="32"/>
      <c r="E521" s="78"/>
      <c r="F521" s="46">
        <v>30</v>
      </c>
      <c r="G521" s="46">
        <v>30</v>
      </c>
      <c r="H521" s="46">
        <f>Performance!AJ116</f>
        <v>30</v>
      </c>
      <c r="I521" s="46">
        <v>30</v>
      </c>
      <c r="J521" s="46">
        <v>30</v>
      </c>
      <c r="K521" s="46">
        <v>30</v>
      </c>
      <c r="L521" s="46">
        <v>30</v>
      </c>
      <c r="M521" s="46">
        <v>30</v>
      </c>
      <c r="N521" s="46">
        <v>30</v>
      </c>
      <c r="O521" s="46">
        <v>30</v>
      </c>
      <c r="P521" s="46">
        <v>30</v>
      </c>
      <c r="Q521" s="1522"/>
    </row>
    <row r="522" spans="1:17" outlineLevel="1" x14ac:dyDescent="0.3">
      <c r="A522" s="43" t="s">
        <v>1527</v>
      </c>
      <c r="B522" s="105" t="s">
        <v>175</v>
      </c>
      <c r="C522" s="30"/>
      <c r="D522" s="676"/>
      <c r="E522" s="53"/>
      <c r="F522" s="721">
        <v>20</v>
      </c>
      <c r="G522" s="721">
        <v>12</v>
      </c>
      <c r="H522" s="721">
        <v>28</v>
      </c>
      <c r="I522" s="721">
        <v>20</v>
      </c>
      <c r="J522" s="721">
        <v>20</v>
      </c>
      <c r="K522" s="721">
        <v>44</v>
      </c>
      <c r="L522" s="721">
        <v>44</v>
      </c>
      <c r="M522" s="721">
        <v>54</v>
      </c>
      <c r="N522" s="721">
        <v>44</v>
      </c>
      <c r="O522" s="721">
        <v>54</v>
      </c>
      <c r="P522" s="721">
        <v>12</v>
      </c>
    </row>
    <row r="523" spans="1:17" x14ac:dyDescent="0.3">
      <c r="A523" s="43" t="s">
        <v>1068</v>
      </c>
      <c r="B523" s="29" t="s">
        <v>175</v>
      </c>
      <c r="C523" s="45" t="s">
        <v>903</v>
      </c>
      <c r="D523" s="33"/>
      <c r="F523" s="46">
        <v>0</v>
      </c>
      <c r="G523" s="46">
        <v>0</v>
      </c>
      <c r="H523" s="46">
        <v>0</v>
      </c>
      <c r="I523" s="46">
        <v>0</v>
      </c>
      <c r="J523" s="46">
        <v>0</v>
      </c>
      <c r="K523" s="61">
        <v>11</v>
      </c>
      <c r="L523" s="61">
        <v>11</v>
      </c>
      <c r="M523" s="61">
        <v>13</v>
      </c>
      <c r="N523" s="61">
        <v>11</v>
      </c>
      <c r="O523" s="61">
        <v>13</v>
      </c>
      <c r="P523" s="61">
        <v>0</v>
      </c>
      <c r="Q523" s="1705"/>
    </row>
    <row r="524" spans="1:17" x14ac:dyDescent="0.3">
      <c r="A524" s="43" t="s">
        <v>101</v>
      </c>
      <c r="B524" s="29" t="s">
        <v>47</v>
      </c>
      <c r="C524" s="53"/>
      <c r="D524" s="32"/>
      <c r="F524" s="46">
        <v>20</v>
      </c>
      <c r="G524" s="46">
        <v>20</v>
      </c>
      <c r="H524" s="46">
        <v>20</v>
      </c>
      <c r="I524" s="46">
        <v>20</v>
      </c>
      <c r="J524" s="46">
        <v>20</v>
      </c>
      <c r="K524" s="46">
        <v>20</v>
      </c>
      <c r="L524" s="46">
        <v>20</v>
      </c>
      <c r="M524" s="46">
        <v>20</v>
      </c>
      <c r="N524" s="46">
        <v>20</v>
      </c>
      <c r="O524" s="46">
        <v>20</v>
      </c>
      <c r="P524" s="46">
        <v>20</v>
      </c>
      <c r="Q524" s="1522"/>
    </row>
    <row r="525" spans="1:17" x14ac:dyDescent="0.3">
      <c r="A525" s="43" t="s">
        <v>430</v>
      </c>
      <c r="B525" s="29" t="s">
        <v>49</v>
      </c>
      <c r="C525" s="53"/>
      <c r="D525" s="32"/>
      <c r="F525" s="46">
        <v>20</v>
      </c>
      <c r="G525" s="46">
        <v>20</v>
      </c>
      <c r="H525" s="46">
        <v>20</v>
      </c>
      <c r="I525" s="46">
        <v>20</v>
      </c>
      <c r="J525" s="46">
        <v>20</v>
      </c>
      <c r="K525" s="46">
        <v>20</v>
      </c>
      <c r="L525" s="46">
        <v>20</v>
      </c>
      <c r="M525" s="46">
        <v>20</v>
      </c>
      <c r="N525" s="46">
        <v>20</v>
      </c>
      <c r="O525" s="46">
        <v>20</v>
      </c>
      <c r="P525" s="46">
        <v>20</v>
      </c>
      <c r="Q525" s="1522"/>
    </row>
    <row r="526" spans="1:17" x14ac:dyDescent="0.3">
      <c r="A526" s="43" t="s">
        <v>170</v>
      </c>
      <c r="B526" s="29"/>
      <c r="C526" s="53"/>
      <c r="D526" s="32"/>
      <c r="F526" s="46">
        <v>1</v>
      </c>
      <c r="G526" s="46">
        <v>1</v>
      </c>
      <c r="H526" s="46">
        <v>1</v>
      </c>
      <c r="I526" s="46">
        <v>1</v>
      </c>
      <c r="J526" s="46">
        <v>1</v>
      </c>
      <c r="K526" s="46">
        <v>1</v>
      </c>
      <c r="L526" s="46">
        <v>1</v>
      </c>
      <c r="M526" s="46">
        <v>1</v>
      </c>
      <c r="N526" s="46">
        <v>1</v>
      </c>
      <c r="O526" s="46">
        <v>1</v>
      </c>
      <c r="P526" s="46">
        <v>1</v>
      </c>
      <c r="Q526" s="1522"/>
    </row>
    <row r="527" spans="1:17" x14ac:dyDescent="0.3">
      <c r="A527" s="43" t="s">
        <v>429</v>
      </c>
      <c r="B527" s="29" t="s">
        <v>48</v>
      </c>
      <c r="C527" s="53"/>
      <c r="D527" s="32"/>
      <c r="F527" s="46">
        <v>4</v>
      </c>
      <c r="G527" s="46">
        <v>4</v>
      </c>
      <c r="H527" s="46">
        <v>4</v>
      </c>
      <c r="I527" s="46">
        <v>4</v>
      </c>
      <c r="J527" s="46">
        <v>4</v>
      </c>
      <c r="K527" s="46">
        <v>4</v>
      </c>
      <c r="L527" s="46">
        <v>4</v>
      </c>
      <c r="M527" s="46">
        <v>4</v>
      </c>
      <c r="N527" s="46">
        <v>4</v>
      </c>
      <c r="O527" s="46">
        <v>4</v>
      </c>
      <c r="P527" s="46">
        <v>0</v>
      </c>
      <c r="Q527" s="1522"/>
    </row>
    <row r="528" spans="1:17" x14ac:dyDescent="0.3">
      <c r="A528" s="43" t="s">
        <v>1523</v>
      </c>
      <c r="B528" s="29" t="s">
        <v>175</v>
      </c>
      <c r="D528" s="32"/>
      <c r="F528" s="46">
        <v>30</v>
      </c>
      <c r="G528" s="46">
        <v>30</v>
      </c>
      <c r="H528" s="46">
        <v>30</v>
      </c>
      <c r="I528" s="46">
        <v>30</v>
      </c>
      <c r="J528" s="46">
        <v>30</v>
      </c>
      <c r="K528" s="46">
        <v>35</v>
      </c>
      <c r="L528" s="46">
        <v>35</v>
      </c>
      <c r="M528" s="46">
        <v>40</v>
      </c>
      <c r="N528" s="46">
        <v>35</v>
      </c>
      <c r="O528" s="46">
        <v>40</v>
      </c>
      <c r="P528" s="46">
        <v>40</v>
      </c>
      <c r="Q528" s="1522"/>
    </row>
    <row r="529" spans="1:17" x14ac:dyDescent="0.3">
      <c r="A529" s="43" t="s">
        <v>1524</v>
      </c>
      <c r="B529" s="29" t="s">
        <v>175</v>
      </c>
      <c r="D529" s="32"/>
      <c r="F529" s="46">
        <v>20</v>
      </c>
      <c r="G529" s="46">
        <v>20</v>
      </c>
      <c r="H529" s="46">
        <v>20</v>
      </c>
      <c r="I529" s="46">
        <v>20</v>
      </c>
      <c r="J529" s="46">
        <v>20</v>
      </c>
      <c r="K529" s="46">
        <v>25</v>
      </c>
      <c r="L529" s="46">
        <v>25</v>
      </c>
      <c r="M529" s="46">
        <v>30</v>
      </c>
      <c r="N529" s="46">
        <v>25</v>
      </c>
      <c r="O529" s="46">
        <v>30</v>
      </c>
      <c r="P529" s="46">
        <v>30</v>
      </c>
      <c r="Q529" s="1522"/>
    </row>
    <row r="530" spans="1:17" x14ac:dyDescent="0.3">
      <c r="A530" s="43" t="s">
        <v>1525</v>
      </c>
      <c r="B530" s="29" t="s">
        <v>175</v>
      </c>
      <c r="D530" s="32"/>
      <c r="F530" s="46">
        <v>5</v>
      </c>
      <c r="G530" s="46">
        <v>5</v>
      </c>
      <c r="H530" s="46">
        <v>5</v>
      </c>
      <c r="I530" s="46">
        <v>5</v>
      </c>
      <c r="J530" s="46">
        <v>5</v>
      </c>
      <c r="K530" s="46">
        <v>5</v>
      </c>
      <c r="L530" s="46">
        <v>5</v>
      </c>
      <c r="M530" s="46">
        <v>5</v>
      </c>
      <c r="N530" s="46">
        <v>5</v>
      </c>
      <c r="O530" s="46">
        <v>5</v>
      </c>
      <c r="P530" s="46">
        <v>5</v>
      </c>
      <c r="Q530" s="1522"/>
    </row>
    <row r="531" spans="1:17" x14ac:dyDescent="0.3">
      <c r="A531" s="43" t="s">
        <v>1070</v>
      </c>
      <c r="B531" s="29" t="s">
        <v>893</v>
      </c>
      <c r="C531" s="53"/>
      <c r="D531" s="32" t="s">
        <v>1071</v>
      </c>
      <c r="F531" s="46">
        <v>1</v>
      </c>
      <c r="G531" s="46">
        <v>1</v>
      </c>
      <c r="H531" s="46">
        <v>1</v>
      </c>
      <c r="I531" s="46">
        <v>1</v>
      </c>
      <c r="J531" s="46">
        <v>1</v>
      </c>
      <c r="K531" s="46">
        <v>1</v>
      </c>
      <c r="L531" s="46">
        <v>1</v>
      </c>
      <c r="M531" s="46">
        <v>1</v>
      </c>
      <c r="N531" s="46">
        <v>1</v>
      </c>
      <c r="O531" s="46">
        <v>1</v>
      </c>
      <c r="P531" s="46">
        <v>1</v>
      </c>
      <c r="Q531" s="1522"/>
    </row>
    <row r="532" spans="1:17" x14ac:dyDescent="0.3">
      <c r="A532" s="43" t="s">
        <v>1699</v>
      </c>
      <c r="B532" s="29" t="s">
        <v>175</v>
      </c>
      <c r="C532" s="53"/>
      <c r="D532" s="32"/>
      <c r="F532" s="46">
        <v>5</v>
      </c>
      <c r="G532" s="46">
        <v>5</v>
      </c>
      <c r="H532" s="46">
        <v>5</v>
      </c>
      <c r="I532" s="46">
        <v>5</v>
      </c>
      <c r="J532" s="46">
        <v>5</v>
      </c>
      <c r="K532" s="46">
        <v>5</v>
      </c>
      <c r="L532" s="46">
        <v>5</v>
      </c>
      <c r="M532" s="46">
        <v>5</v>
      </c>
      <c r="N532" s="46">
        <v>5</v>
      </c>
      <c r="O532" s="46">
        <v>5</v>
      </c>
      <c r="P532" s="46">
        <v>5</v>
      </c>
      <c r="Q532" s="1522"/>
    </row>
    <row r="533" spans="1:17" x14ac:dyDescent="0.3">
      <c r="A533" s="40" t="s">
        <v>913</v>
      </c>
      <c r="B533" s="31" t="s">
        <v>281</v>
      </c>
      <c r="C533" s="42" t="s">
        <v>288</v>
      </c>
      <c r="D533" s="31" t="s">
        <v>1069</v>
      </c>
      <c r="E533" s="31"/>
      <c r="F533" s="31"/>
      <c r="G533" s="31"/>
      <c r="H533" s="31"/>
      <c r="I533" s="31"/>
      <c r="J533" s="31"/>
      <c r="K533" s="31"/>
      <c r="L533" s="31"/>
      <c r="M533" s="31"/>
      <c r="N533" s="31"/>
      <c r="O533" s="31"/>
      <c r="P533" s="31"/>
      <c r="Q533" s="1554"/>
    </row>
    <row r="534" spans="1:17" x14ac:dyDescent="0.3">
      <c r="A534" s="43" t="s">
        <v>908</v>
      </c>
      <c r="B534" s="29" t="s">
        <v>305</v>
      </c>
      <c r="C534" s="53"/>
      <c r="D534" s="32"/>
      <c r="F534" s="46">
        <v>20</v>
      </c>
      <c r="G534" s="46">
        <v>20</v>
      </c>
      <c r="H534" s="1522" t="s">
        <v>893</v>
      </c>
      <c r="I534" s="1522" t="s">
        <v>893</v>
      </c>
      <c r="J534" s="1522" t="s">
        <v>893</v>
      </c>
      <c r="K534" s="1522" t="s">
        <v>893</v>
      </c>
      <c r="L534" s="1522" t="s">
        <v>893</v>
      </c>
      <c r="M534" s="1522" t="s">
        <v>893</v>
      </c>
      <c r="N534" s="1522" t="s">
        <v>893</v>
      </c>
      <c r="O534" s="1522" t="s">
        <v>893</v>
      </c>
      <c r="P534" s="1522" t="s">
        <v>893</v>
      </c>
      <c r="Q534" s="1522"/>
    </row>
    <row r="535" spans="1:17" x14ac:dyDescent="0.3">
      <c r="A535" s="43" t="s">
        <v>909</v>
      </c>
      <c r="B535" s="29" t="s">
        <v>305</v>
      </c>
      <c r="C535" s="53"/>
      <c r="D535" s="32"/>
      <c r="F535" s="46">
        <v>20</v>
      </c>
      <c r="G535" s="46">
        <v>20</v>
      </c>
      <c r="H535" s="1522" t="s">
        <v>893</v>
      </c>
      <c r="I535" s="46">
        <v>0</v>
      </c>
      <c r="J535" s="46">
        <v>0</v>
      </c>
      <c r="K535" s="46">
        <v>0</v>
      </c>
      <c r="L535" s="46">
        <v>0</v>
      </c>
      <c r="M535" s="46">
        <v>0</v>
      </c>
      <c r="N535" s="46">
        <v>0</v>
      </c>
      <c r="O535" s="46">
        <v>0</v>
      </c>
      <c r="P535" s="46">
        <v>0</v>
      </c>
      <c r="Q535" s="1522"/>
    </row>
    <row r="536" spans="1:17" x14ac:dyDescent="0.3">
      <c r="A536" s="43" t="s">
        <v>912</v>
      </c>
      <c r="B536" s="29" t="s">
        <v>305</v>
      </c>
      <c r="C536" s="53"/>
      <c r="D536" s="32"/>
      <c r="F536" s="46">
        <v>20</v>
      </c>
      <c r="G536" s="46">
        <v>20</v>
      </c>
      <c r="H536" s="46">
        <v>392</v>
      </c>
      <c r="I536" s="46">
        <v>392</v>
      </c>
      <c r="J536" s="46">
        <v>392</v>
      </c>
      <c r="K536" s="46">
        <v>392</v>
      </c>
      <c r="L536" s="46">
        <v>392</v>
      </c>
      <c r="M536" s="46">
        <v>392</v>
      </c>
      <c r="N536" s="46">
        <v>392</v>
      </c>
      <c r="O536" s="46">
        <v>392</v>
      </c>
      <c r="P536" s="46">
        <v>392</v>
      </c>
      <c r="Q536" s="1522"/>
    </row>
    <row r="537" spans="1:17" x14ac:dyDescent="0.3">
      <c r="A537" s="43" t="s">
        <v>1023</v>
      </c>
      <c r="B537" s="29" t="s">
        <v>973</v>
      </c>
      <c r="C537" s="30"/>
      <c r="D537" s="32"/>
      <c r="F537" s="46">
        <v>0</v>
      </c>
      <c r="G537" s="46">
        <v>0</v>
      </c>
      <c r="H537" s="46">
        <v>0</v>
      </c>
      <c r="I537" s="46">
        <v>0</v>
      </c>
      <c r="J537" s="46">
        <v>0</v>
      </c>
      <c r="K537" s="46">
        <v>0</v>
      </c>
      <c r="L537" s="46">
        <v>0</v>
      </c>
      <c r="M537" s="46">
        <v>0</v>
      </c>
      <c r="N537" s="46">
        <v>0</v>
      </c>
      <c r="O537" s="46">
        <v>0</v>
      </c>
      <c r="P537" s="46">
        <v>0</v>
      </c>
      <c r="Q537" s="33"/>
    </row>
    <row r="538" spans="1:17" x14ac:dyDescent="0.3">
      <c r="A538" s="43" t="s">
        <v>1024</v>
      </c>
      <c r="B538" s="29" t="s">
        <v>973</v>
      </c>
      <c r="C538" s="30"/>
      <c r="D538" s="32"/>
      <c r="F538" s="46">
        <v>0</v>
      </c>
      <c r="G538" s="46">
        <v>0</v>
      </c>
      <c r="H538" s="46">
        <v>0</v>
      </c>
      <c r="I538" s="46">
        <v>0</v>
      </c>
      <c r="J538" s="46">
        <v>0</v>
      </c>
      <c r="K538" s="46">
        <v>0</v>
      </c>
      <c r="L538" s="46">
        <v>0</v>
      </c>
      <c r="M538" s="46">
        <v>0</v>
      </c>
      <c r="N538" s="46">
        <v>0</v>
      </c>
      <c r="O538" s="46">
        <v>0</v>
      </c>
      <c r="P538" s="46">
        <v>0</v>
      </c>
      <c r="Q538" s="33"/>
    </row>
    <row r="539" spans="1:17" x14ac:dyDescent="0.3">
      <c r="A539" s="43" t="s">
        <v>1025</v>
      </c>
      <c r="B539" s="29" t="s">
        <v>973</v>
      </c>
      <c r="C539" s="30"/>
      <c r="D539" s="32"/>
      <c r="F539" s="46">
        <v>0</v>
      </c>
      <c r="G539" s="46">
        <v>0</v>
      </c>
      <c r="H539" s="46">
        <v>0</v>
      </c>
      <c r="I539" s="46">
        <v>0</v>
      </c>
      <c r="J539" s="46">
        <v>0</v>
      </c>
      <c r="K539" s="46">
        <v>0</v>
      </c>
      <c r="L539" s="46">
        <v>0</v>
      </c>
      <c r="M539" s="46">
        <v>0</v>
      </c>
      <c r="N539" s="46">
        <v>0</v>
      </c>
      <c r="O539" s="46">
        <v>0</v>
      </c>
      <c r="P539" s="46">
        <v>0</v>
      </c>
      <c r="Q539" s="33"/>
    </row>
  </sheetData>
  <mergeCells count="5">
    <mergeCell ref="D111:D113"/>
    <mergeCell ref="D117:D119"/>
    <mergeCell ref="D123:D125"/>
    <mergeCell ref="D129:D131"/>
    <mergeCell ref="D136:D138"/>
  </mergeCells>
  <pageMargins left="0.7" right="0.7" top="0.75" bottom="0.75" header="0.3" footer="0.3"/>
  <pageSetup orientation="portrait" verticalDpi="300" r:id="rId1"/>
  <legacyDrawing r:id="rId2"/>
  <extLst>
    <ext xmlns:x14="http://schemas.microsoft.com/office/spreadsheetml/2009/9/main" uri="{78C0D931-6437-407d-A8EE-F0AAD7539E65}">
      <x14:conditionalFormattings>
        <x14:conditionalFormatting xmlns:xm="http://schemas.microsoft.com/office/excel/2006/main">
          <x14:cfRule type="iconSet" priority="1" id="{A1D2DBB2-D6CB-48F6-8193-ED4300C6147D}">
            <x14:iconSet iconSet="3Symbols" custom="1">
              <x14:cfvo type="percent">
                <xm:f>0</xm:f>
              </x14:cfvo>
              <x14:cfvo type="num">
                <xm:f>0</xm:f>
              </x14:cfvo>
              <x14:cfvo type="num">
                <xm:f>1</xm:f>
              </x14:cfvo>
              <x14:cfIcon iconSet="NoIcons" iconId="0"/>
              <x14:cfIcon iconSet="NoIcons" iconId="0"/>
              <x14:cfIcon iconSet="3Symbols" iconId="2"/>
            </x14:iconSet>
          </x14:cfRule>
          <xm:sqref>I4:I6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AE74A-25B8-4173-A885-D880D4DA3302}">
  <dimension ref="A2:F7"/>
  <sheetViews>
    <sheetView workbookViewId="0">
      <selection activeCell="D16" sqref="D16"/>
    </sheetView>
  </sheetViews>
  <sheetFormatPr defaultRowHeight="15" x14ac:dyDescent="0.3"/>
  <cols>
    <col min="1" max="1" width="16.125" bestFit="1" customWidth="1"/>
    <col min="2" max="2" width="12" bestFit="1" customWidth="1"/>
    <col min="3" max="3" width="13.625" bestFit="1" customWidth="1"/>
    <col min="4" max="4" width="11.625" bestFit="1" customWidth="1"/>
    <col min="5" max="6" width="15" bestFit="1" customWidth="1"/>
  </cols>
  <sheetData>
    <row r="2" spans="1:6" x14ac:dyDescent="0.3">
      <c r="A2" s="1983" t="s">
        <v>1755</v>
      </c>
      <c r="B2" s="1983" t="s">
        <v>1756</v>
      </c>
      <c r="C2" s="1983" t="s">
        <v>1752</v>
      </c>
      <c r="D2" s="1983" t="s">
        <v>1753</v>
      </c>
      <c r="E2" s="1983" t="s">
        <v>1754</v>
      </c>
      <c r="F2" s="1983" t="s">
        <v>1757</v>
      </c>
    </row>
    <row r="3" spans="1:6" x14ac:dyDescent="0.3">
      <c r="A3" s="1316">
        <v>0.15</v>
      </c>
      <c r="B3" s="1316">
        <v>437</v>
      </c>
      <c r="C3" s="1316">
        <v>12</v>
      </c>
      <c r="D3" s="1316">
        <v>508</v>
      </c>
      <c r="E3" s="1316">
        <v>101</v>
      </c>
      <c r="F3" s="1316">
        <v>39</v>
      </c>
    </row>
    <row r="4" spans="1:6" x14ac:dyDescent="0.3">
      <c r="A4" s="1316">
        <v>0.625</v>
      </c>
      <c r="B4" s="1316">
        <v>2309</v>
      </c>
      <c r="C4" s="1316">
        <v>50</v>
      </c>
      <c r="D4" s="1316">
        <v>2596</v>
      </c>
      <c r="E4" s="1316">
        <v>51</v>
      </c>
      <c r="F4" s="1316">
        <v>47</v>
      </c>
    </row>
    <row r="5" spans="1:6" x14ac:dyDescent="0.3">
      <c r="A5" s="1316">
        <v>1.125</v>
      </c>
      <c r="B5" s="1316">
        <v>4826</v>
      </c>
      <c r="C5" s="1316">
        <v>90</v>
      </c>
      <c r="D5" s="1316">
        <v>4888</v>
      </c>
      <c r="E5" s="1316">
        <v>45</v>
      </c>
      <c r="F5" s="1316">
        <v>50</v>
      </c>
    </row>
    <row r="6" spans="1:6" x14ac:dyDescent="0.3">
      <c r="A6" s="1316">
        <v>1.875</v>
      </c>
      <c r="B6" s="1316">
        <v>9649</v>
      </c>
      <c r="C6" s="1316">
        <v>150</v>
      </c>
      <c r="D6" s="1316">
        <v>8032</v>
      </c>
      <c r="E6" s="1316">
        <v>45</v>
      </c>
      <c r="F6" s="1316">
        <v>49</v>
      </c>
    </row>
    <row r="7" spans="1:6" x14ac:dyDescent="0.3">
      <c r="A7" s="1316">
        <v>2.5</v>
      </c>
      <c r="B7" s="1316">
        <v>14630</v>
      </c>
      <c r="C7" s="1316">
        <v>200</v>
      </c>
      <c r="D7" s="1316">
        <v>10466</v>
      </c>
      <c r="E7" s="1316">
        <v>46</v>
      </c>
      <c r="F7" s="1316">
        <v>48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AA140"/>
  <sheetViews>
    <sheetView showGridLines="0" zoomScale="70" zoomScaleNormal="70" workbookViewId="0">
      <pane xSplit="5" ySplit="8" topLeftCell="F18" activePane="bottomRight" state="frozen"/>
      <selection activeCell="L105" sqref="L105"/>
      <selection pane="topRight" activeCell="L105" sqref="L105"/>
      <selection pane="bottomLeft" activeCell="L105" sqref="L105"/>
      <selection pane="bottomRight" activeCell="S69" sqref="S69"/>
    </sheetView>
  </sheetViews>
  <sheetFormatPr defaultColWidth="16.375" defaultRowHeight="15" outlineLevelRow="1" outlineLevelCol="1" x14ac:dyDescent="0.3"/>
  <cols>
    <col min="1" max="1" width="16.375" style="43"/>
    <col min="3" max="3" width="10" style="30" customWidth="1"/>
    <col min="4" max="4" width="16.375" style="29"/>
    <col min="5" max="5" width="16.375" style="30" customWidth="1" outlineLevel="1"/>
    <col min="6" max="6" width="17.875" style="32" customWidth="1"/>
    <col min="7" max="7" width="14.125" style="32" customWidth="1"/>
    <col min="8" max="8" width="16.375" customWidth="1" outlineLevel="1"/>
    <col min="9" max="10" width="14.875" style="29" customWidth="1" outlineLevel="1" collapsed="1"/>
    <col min="11" max="19" width="14.875" style="29" customWidth="1"/>
  </cols>
  <sheetData>
    <row r="1" spans="1:20" ht="21" x14ac:dyDescent="0.3">
      <c r="A1" s="163" t="s">
        <v>407</v>
      </c>
    </row>
    <row r="2" spans="1:20" ht="15.75" thickBot="1" x14ac:dyDescent="0.35">
      <c r="A2" s="1419" t="s">
        <v>1054</v>
      </c>
      <c r="G2" s="1418" t="s">
        <v>988</v>
      </c>
      <c r="H2" s="639"/>
      <c r="I2" s="639"/>
      <c r="J2" s="639"/>
      <c r="K2" s="639"/>
      <c r="L2" s="512"/>
      <c r="M2" s="1417" t="s">
        <v>1034</v>
      </c>
      <c r="T2" s="29"/>
    </row>
    <row r="3" spans="1:20" s="16" customFormat="1" x14ac:dyDescent="0.3">
      <c r="A3" s="1402"/>
      <c r="B3" s="1392"/>
      <c r="C3" s="1403"/>
      <c r="D3" s="1404"/>
      <c r="E3" s="1403"/>
      <c r="F3" s="1405"/>
      <c r="G3" s="1370" t="s">
        <v>75</v>
      </c>
      <c r="H3" s="1373">
        <f ca="1">Performance!C4</f>
        <v>150</v>
      </c>
      <c r="I3" s="1369" t="s">
        <v>501</v>
      </c>
      <c r="J3" s="1375">
        <f ca="1">N</f>
        <v>30</v>
      </c>
      <c r="K3" s="1365" t="s">
        <v>292</v>
      </c>
      <c r="L3" s="1346">
        <f ca="1">horizon</f>
        <v>25</v>
      </c>
      <c r="M3" s="1399" t="s">
        <v>1056</v>
      </c>
      <c r="N3" s="1404"/>
      <c r="O3" s="1404"/>
      <c r="P3" s="1404"/>
      <c r="Q3" s="1404"/>
      <c r="R3" s="1413"/>
      <c r="S3" s="1413"/>
      <c r="T3" s="1401"/>
    </row>
    <row r="4" spans="1:20" s="16" customFormat="1" x14ac:dyDescent="0.3">
      <c r="A4" s="1406"/>
      <c r="C4" s="1400"/>
      <c r="D4" s="1401"/>
      <c r="E4" s="1400"/>
      <c r="F4" s="1407"/>
      <c r="G4" s="1367" t="s">
        <v>904</v>
      </c>
      <c r="H4" s="1149">
        <f ca="1">Performance!C3</f>
        <v>12</v>
      </c>
      <c r="I4" s="1347" t="s">
        <v>905</v>
      </c>
      <c r="J4" s="1376">
        <f ca="1">Performance!$C$8</f>
        <v>15.539326163190678</v>
      </c>
      <c r="K4" s="1362" t="s">
        <v>1051</v>
      </c>
      <c r="L4" s="1468">
        <f ca="1">LCOE</f>
        <v>97.766902413760249</v>
      </c>
      <c r="M4" s="1420" t="s">
        <v>1057</v>
      </c>
      <c r="N4" s="1401"/>
      <c r="O4" s="1401"/>
      <c r="P4" s="1401"/>
      <c r="Q4" s="1401"/>
      <c r="R4" s="1415"/>
      <c r="S4" s="1415"/>
      <c r="T4" s="1401"/>
    </row>
    <row r="5" spans="1:20" s="16" customFormat="1" x14ac:dyDescent="0.3">
      <c r="A5" s="1406"/>
      <c r="C5" s="1400"/>
      <c r="D5" s="1401"/>
      <c r="E5" s="1400"/>
      <c r="F5" s="1407"/>
      <c r="G5" s="1366" t="s">
        <v>65</v>
      </c>
      <c r="H5" s="1374">
        <f ca="1">Tmax_p</f>
        <v>42.000000000000007</v>
      </c>
      <c r="I5" s="1361" t="s">
        <v>910</v>
      </c>
      <c r="J5" s="1377">
        <f ca="1">Scenarios!D22</f>
        <v>12.5</v>
      </c>
      <c r="K5" s="1362" t="s">
        <v>1052</v>
      </c>
      <c r="L5" s="1469">
        <f ca="1">'LCOE analysis'!D19</f>
        <v>0.40220801713922949</v>
      </c>
      <c r="M5" s="1414"/>
      <c r="N5" s="1401"/>
      <c r="O5" s="1401"/>
      <c r="P5" s="1401"/>
      <c r="Q5" s="1401"/>
      <c r="R5" s="1415"/>
      <c r="S5" s="1415"/>
      <c r="T5" s="1401"/>
    </row>
    <row r="6" spans="1:20" s="16" customFormat="1" ht="15.75" thickBot="1" x14ac:dyDescent="0.35">
      <c r="A6" s="1408"/>
      <c r="B6" s="1397"/>
      <c r="C6" s="1409"/>
      <c r="D6" s="1410"/>
      <c r="E6" s="1409"/>
      <c r="F6" s="1411"/>
      <c r="G6" s="1412" t="s">
        <v>1053</v>
      </c>
      <c r="H6" s="1372">
        <f ca="1">avg_speed</f>
        <v>10.563903252812876</v>
      </c>
      <c r="I6" s="1348" t="s">
        <v>984</v>
      </c>
      <c r="J6" s="1378">
        <f ca="1">Scenarios!D24</f>
        <v>0.28000000000000003</v>
      </c>
      <c r="K6" s="1364" t="s">
        <v>621</v>
      </c>
      <c r="L6" s="1372">
        <f ca="1">'LCOE analysis'!D18</f>
        <v>15.865899652091185</v>
      </c>
      <c r="M6" s="1416"/>
      <c r="N6" s="1410"/>
      <c r="O6" s="1410"/>
      <c r="P6" s="1410"/>
      <c r="Q6" s="1410"/>
      <c r="R6" s="1520"/>
      <c r="S6" s="1520"/>
      <c r="T6" s="1401"/>
    </row>
    <row r="7" spans="1:20" x14ac:dyDescent="0.3">
      <c r="A7"/>
      <c r="B7" s="28"/>
      <c r="H7" s="31" t="s">
        <v>283</v>
      </c>
      <c r="I7" s="31">
        <v>0</v>
      </c>
      <c r="J7" s="31">
        <f t="shared" ref="J7:S7" ca="1" si="0">OFFSET(J7,0,-1)+1</f>
        <v>1</v>
      </c>
      <c r="K7" s="566">
        <f t="shared" ca="1" si="0"/>
        <v>2</v>
      </c>
      <c r="L7" s="559">
        <f t="shared" ca="1" si="0"/>
        <v>3</v>
      </c>
      <c r="M7" s="228">
        <f t="shared" ca="1" si="0"/>
        <v>4</v>
      </c>
      <c r="N7" s="31">
        <f t="shared" ca="1" si="0"/>
        <v>5</v>
      </c>
      <c r="O7" s="31">
        <f t="shared" ca="1" si="0"/>
        <v>6</v>
      </c>
      <c r="P7" s="31">
        <f t="shared" ca="1" si="0"/>
        <v>7</v>
      </c>
      <c r="Q7" s="501">
        <f t="shared" ca="1" si="0"/>
        <v>8</v>
      </c>
      <c r="R7" s="31">
        <f t="shared" ca="1" si="0"/>
        <v>9</v>
      </c>
      <c r="S7" s="31">
        <f t="shared" ca="1" si="0"/>
        <v>10</v>
      </c>
    </row>
    <row r="8" spans="1:20" ht="39.950000000000003" customHeight="1" x14ac:dyDescent="0.3">
      <c r="A8" s="1437"/>
      <c r="B8" s="1438"/>
      <c r="E8" s="615"/>
      <c r="F8" s="33"/>
      <c r="G8" s="33"/>
      <c r="H8" s="29"/>
      <c r="I8" s="1614" t="str">
        <f>Inputs!F468</f>
        <v>Reference</v>
      </c>
      <c r="J8" s="1614" t="str">
        <f>Inputs!G468</f>
        <v>No Gains</v>
      </c>
      <c r="K8" s="1911" t="s">
        <v>1690</v>
      </c>
      <c r="L8" s="1911" t="s">
        <v>1689</v>
      </c>
      <c r="M8" s="1911" t="s">
        <v>1689</v>
      </c>
      <c r="N8" s="1911" t="s">
        <v>1688</v>
      </c>
      <c r="O8" s="1911" t="s">
        <v>1688</v>
      </c>
      <c r="P8" s="1911" t="s">
        <v>1687</v>
      </c>
      <c r="Q8" s="1911" t="s">
        <v>1686</v>
      </c>
      <c r="R8" s="1911" t="s">
        <v>1685</v>
      </c>
      <c r="S8" s="1911" t="s">
        <v>1438</v>
      </c>
    </row>
    <row r="9" spans="1:20" s="36" customFormat="1" ht="30" x14ac:dyDescent="0.3">
      <c r="A9" s="34"/>
      <c r="B9" s="35"/>
      <c r="C9" s="37"/>
      <c r="E9" s="37"/>
      <c r="F9" s="38"/>
      <c r="G9" s="38"/>
      <c r="I9" s="39" t="str">
        <f t="shared" ref="I9" si="1">I7&amp;" - "&amp;I8</f>
        <v>0 - Reference</v>
      </c>
      <c r="J9" s="39" t="str">
        <f t="shared" ref="J9:S9" ca="1" si="2">J7&amp;" - "&amp;J8</f>
        <v>1 - No Gains</v>
      </c>
      <c r="K9" s="567" t="str">
        <f t="shared" ca="1" si="2"/>
        <v>2 - Low Case 2026</v>
      </c>
      <c r="L9" s="39" t="str">
        <f t="shared" ca="1" si="2"/>
        <v>3 - Base Case 2030</v>
      </c>
      <c r="M9" s="500" t="str">
        <f t="shared" ca="1" si="2"/>
        <v>4 - Base Case 2030</v>
      </c>
      <c r="N9" s="39" t="str">
        <f t="shared" ca="1" si="2"/>
        <v>5 - High Case AP5 Onshore - 2035</v>
      </c>
      <c r="O9" s="39" t="str">
        <f t="shared" ca="1" si="2"/>
        <v>6 - High Case AP5 Onshore - 2035</v>
      </c>
      <c r="P9" s="39" t="str">
        <f t="shared" ca="1" si="2"/>
        <v>7 - High Case AP6 Offshore 2035</v>
      </c>
      <c r="Q9" s="499" t="str">
        <f t="shared" ca="1" si="2"/>
        <v>8 - Best Case AP5 - Onshore 2040</v>
      </c>
      <c r="R9" s="39" t="str">
        <f t="shared" ca="1" si="2"/>
        <v>9 - Best Case AP6 Offshore 2040</v>
      </c>
      <c r="S9" s="39" t="str">
        <f t="shared" ca="1" si="2"/>
        <v>10 - Model run - external</v>
      </c>
    </row>
    <row r="10" spans="1:20" x14ac:dyDescent="0.3">
      <c r="A10" s="40" t="s">
        <v>19</v>
      </c>
      <c r="B10" s="41"/>
      <c r="C10" s="343" t="s">
        <v>281</v>
      </c>
      <c r="D10" s="31" t="s">
        <v>282</v>
      </c>
      <c r="E10" s="42" t="s">
        <v>288</v>
      </c>
      <c r="F10" s="31" t="s">
        <v>1069</v>
      </c>
      <c r="G10" s="31"/>
      <c r="H10" s="31"/>
      <c r="I10" s="31"/>
      <c r="J10" s="31"/>
      <c r="K10" s="568"/>
      <c r="L10" s="31"/>
      <c r="M10" s="228"/>
      <c r="N10" s="31"/>
      <c r="O10" s="31"/>
      <c r="P10" s="31"/>
      <c r="Q10" s="501"/>
      <c r="R10" s="31"/>
      <c r="S10" s="31"/>
    </row>
    <row r="11" spans="1:20" x14ac:dyDescent="0.3">
      <c r="A11" s="43" t="s">
        <v>1675</v>
      </c>
      <c r="C11" s="30" t="s">
        <v>48</v>
      </c>
      <c r="D11" s="1881">
        <f ca="1">IF(ref_wind_speed_override=0,OFFSET(H11,0,scenario_nr),ref_wind_speed_override)</f>
        <v>9</v>
      </c>
      <c r="E11" s="45" t="s">
        <v>1678</v>
      </c>
      <c r="I11" s="1869">
        <f t="shared" ref="I11:S11" si="3">IF(offshore,11,9)</f>
        <v>9</v>
      </c>
      <c r="J11" s="1869">
        <f t="shared" si="3"/>
        <v>9</v>
      </c>
      <c r="K11" s="1870">
        <f t="shared" si="3"/>
        <v>9</v>
      </c>
      <c r="L11" s="1869">
        <f t="shared" si="3"/>
        <v>9</v>
      </c>
      <c r="M11" s="1871">
        <f t="shared" si="3"/>
        <v>9</v>
      </c>
      <c r="N11" s="1869">
        <f t="shared" si="3"/>
        <v>9</v>
      </c>
      <c r="O11" s="1869">
        <f t="shared" si="3"/>
        <v>9</v>
      </c>
      <c r="P11" s="1869">
        <f t="shared" si="3"/>
        <v>9</v>
      </c>
      <c r="Q11" s="1872">
        <f t="shared" si="3"/>
        <v>9</v>
      </c>
      <c r="R11" s="1869">
        <f t="shared" si="3"/>
        <v>9</v>
      </c>
      <c r="S11" s="1869">
        <f t="shared" si="3"/>
        <v>9</v>
      </c>
    </row>
    <row r="12" spans="1:20" x14ac:dyDescent="0.3">
      <c r="A12" s="43" t="s">
        <v>1676</v>
      </c>
      <c r="D12" s="678">
        <f ca="1">OFFSET(H12,0,scenario_nr)</f>
        <v>0.14285714285714285</v>
      </c>
      <c r="E12" s="45"/>
      <c r="I12" s="1873">
        <f t="shared" ref="I12:S12" si="4">IF(offshore,0.1,1/7)</f>
        <v>0.14285714285714285</v>
      </c>
      <c r="J12" s="1873">
        <f t="shared" si="4"/>
        <v>0.14285714285714285</v>
      </c>
      <c r="K12" s="1873">
        <f t="shared" si="4"/>
        <v>0.14285714285714285</v>
      </c>
      <c r="L12" s="1873">
        <f t="shared" si="4"/>
        <v>0.14285714285714285</v>
      </c>
      <c r="M12" s="1873">
        <f t="shared" si="4"/>
        <v>0.14285714285714285</v>
      </c>
      <c r="N12" s="1873">
        <f t="shared" si="4"/>
        <v>0.14285714285714285</v>
      </c>
      <c r="O12" s="1873">
        <f t="shared" si="4"/>
        <v>0.14285714285714285</v>
      </c>
      <c r="P12" s="1873">
        <f t="shared" si="4"/>
        <v>0.14285714285714285</v>
      </c>
      <c r="Q12" s="1873">
        <f t="shared" si="4"/>
        <v>0.14285714285714285</v>
      </c>
      <c r="R12" s="1873">
        <f t="shared" si="4"/>
        <v>0.14285714285714285</v>
      </c>
      <c r="S12" s="1873">
        <f t="shared" si="4"/>
        <v>0.14285714285714285</v>
      </c>
    </row>
    <row r="13" spans="1:20" x14ac:dyDescent="0.3">
      <c r="A13" s="43" t="s">
        <v>1674</v>
      </c>
      <c r="C13" s="30" t="s">
        <v>175</v>
      </c>
      <c r="D13" s="678">
        <f ca="1">OFFSET(H13,0,scenario_nr)</f>
        <v>100</v>
      </c>
      <c r="E13" s="45"/>
      <c r="I13" s="1865">
        <v>100</v>
      </c>
      <c r="J13" s="1865">
        <v>100</v>
      </c>
      <c r="K13" s="1866">
        <v>100</v>
      </c>
      <c r="L13" s="1865">
        <v>100</v>
      </c>
      <c r="M13" s="1867">
        <v>100</v>
      </c>
      <c r="N13" s="1865">
        <v>100</v>
      </c>
      <c r="O13" s="1865">
        <v>100</v>
      </c>
      <c r="P13" s="1865">
        <v>100</v>
      </c>
      <c r="Q13" s="1868">
        <v>100</v>
      </c>
      <c r="R13" s="1865">
        <v>100</v>
      </c>
      <c r="S13" s="1865">
        <v>100</v>
      </c>
    </row>
    <row r="14" spans="1:20" s="647" customFormat="1" x14ac:dyDescent="0.3">
      <c r="A14" s="1874" t="s">
        <v>1661</v>
      </c>
      <c r="C14" s="1875" t="s">
        <v>175</v>
      </c>
      <c r="D14" s="1876">
        <f ca="1">D81</f>
        <v>306.95403032190711</v>
      </c>
      <c r="E14" s="1877"/>
      <c r="I14" s="1879">
        <v>250</v>
      </c>
      <c r="J14" s="1879">
        <v>250</v>
      </c>
      <c r="K14" s="1879">
        <v>250</v>
      </c>
      <c r="L14" s="1879">
        <v>250</v>
      </c>
      <c r="M14" s="1879">
        <v>250</v>
      </c>
      <c r="N14" s="1879">
        <v>250</v>
      </c>
      <c r="O14" s="1879">
        <v>250</v>
      </c>
      <c r="P14" s="1879">
        <v>250</v>
      </c>
      <c r="Q14" s="1879">
        <v>250</v>
      </c>
      <c r="R14" s="1879">
        <v>250</v>
      </c>
      <c r="S14" s="1879">
        <v>250</v>
      </c>
    </row>
    <row r="15" spans="1:20" x14ac:dyDescent="0.3">
      <c r="A15" s="43" t="s">
        <v>1677</v>
      </c>
      <c r="B15" s="30"/>
      <c r="C15" s="30" t="s">
        <v>48</v>
      </c>
      <c r="D15" s="1893">
        <f ca="1">Scenarios!D11*(Scenarios!D14/Scenarios!D13)^Scenarios!D12</f>
        <v>10.563903252812876</v>
      </c>
      <c r="E15" s="45" t="s">
        <v>398</v>
      </c>
      <c r="F15" s="32">
        <f ca="1">IF(avg_wind_speed_override=0,D13*(D14/D13)^D12,avg_wind_speed_override)</f>
        <v>117.37670280903197</v>
      </c>
      <c r="I15" s="1878">
        <f>I11*(I14/I13)^I12</f>
        <v>10.258670529428372</v>
      </c>
      <c r="J15" s="1878">
        <f t="shared" ref="J15:S15" si="5">J11*(J14/J13)^J12</f>
        <v>10.258670529428372</v>
      </c>
      <c r="K15" s="1878">
        <f t="shared" si="5"/>
        <v>10.258670529428372</v>
      </c>
      <c r="L15" s="1878">
        <f t="shared" si="5"/>
        <v>10.258670529428372</v>
      </c>
      <c r="M15" s="1878">
        <f t="shared" si="5"/>
        <v>10.258670529428372</v>
      </c>
      <c r="N15" s="1878">
        <f t="shared" si="5"/>
        <v>10.258670529428372</v>
      </c>
      <c r="O15" s="1878">
        <f t="shared" si="5"/>
        <v>10.258670529428372</v>
      </c>
      <c r="P15" s="1878">
        <f t="shared" si="5"/>
        <v>10.258670529428372</v>
      </c>
      <c r="Q15" s="1878">
        <f t="shared" si="5"/>
        <v>10.258670529428372</v>
      </c>
      <c r="R15" s="1878">
        <f t="shared" si="5"/>
        <v>10.258670529428372</v>
      </c>
      <c r="S15" s="1878">
        <f t="shared" si="5"/>
        <v>10.258670529428372</v>
      </c>
    </row>
    <row r="16" spans="1:20" x14ac:dyDescent="0.3">
      <c r="A16" s="43" t="s">
        <v>18</v>
      </c>
      <c r="B16" s="30"/>
      <c r="C16" s="30" t="s">
        <v>48</v>
      </c>
      <c r="D16" s="1892">
        <f ca="1">D17*SQRT(2*LN(2))</f>
        <v>9.9266125831968921</v>
      </c>
      <c r="E16" s="45"/>
      <c r="I16"/>
      <c r="J16"/>
      <c r="K16" s="569"/>
      <c r="L16"/>
      <c r="M16" s="153"/>
      <c r="N16"/>
      <c r="O16"/>
      <c r="P16"/>
      <c r="Q16" s="154"/>
      <c r="R16"/>
      <c r="S16"/>
    </row>
    <row r="17" spans="1:19" x14ac:dyDescent="0.3">
      <c r="A17" s="43" t="s">
        <v>16</v>
      </c>
      <c r="B17" s="30"/>
      <c r="C17" s="30" t="s">
        <v>48</v>
      </c>
      <c r="D17" s="44">
        <f ca="1">Scenarios!D15/1.253</f>
        <v>8.430888469922488</v>
      </c>
      <c r="E17" s="45" t="s">
        <v>399</v>
      </c>
      <c r="I17"/>
      <c r="J17"/>
      <c r="K17" s="569"/>
      <c r="L17"/>
      <c r="M17" s="153"/>
      <c r="N17"/>
      <c r="O17"/>
      <c r="P17"/>
      <c r="Q17" s="154"/>
      <c r="R17"/>
      <c r="S17"/>
    </row>
    <row r="18" spans="1:19" x14ac:dyDescent="0.3">
      <c r="D18" s="36"/>
      <c r="E18" s="45"/>
      <c r="K18" s="570"/>
      <c r="M18" s="503"/>
      <c r="Q18" s="502"/>
    </row>
    <row r="19" spans="1:19" x14ac:dyDescent="0.3">
      <c r="A19" s="40" t="s">
        <v>290</v>
      </c>
      <c r="B19" s="41"/>
      <c r="C19" s="343" t="s">
        <v>281</v>
      </c>
      <c r="D19" s="31" t="s">
        <v>282</v>
      </c>
      <c r="E19" s="42" t="s">
        <v>288</v>
      </c>
      <c r="F19" s="31" t="s">
        <v>1069</v>
      </c>
      <c r="G19" s="31"/>
      <c r="H19" s="31">
        <f>Inputs!E471</f>
        <v>0</v>
      </c>
      <c r="I19" s="31">
        <f>Inputs!F471</f>
        <v>0</v>
      </c>
      <c r="J19" s="31">
        <f>Inputs!G471</f>
        <v>0</v>
      </c>
      <c r="K19" s="568">
        <f>Inputs!H471</f>
        <v>0</v>
      </c>
      <c r="L19" s="31">
        <f>Inputs!I471</f>
        <v>0</v>
      </c>
      <c r="M19" s="228">
        <f>Inputs!J471</f>
        <v>0</v>
      </c>
      <c r="N19" s="31">
        <f>Inputs!K471</f>
        <v>0</v>
      </c>
      <c r="O19" s="31">
        <f>Inputs!L471</f>
        <v>0</v>
      </c>
      <c r="P19" s="31">
        <f>Inputs!M471</f>
        <v>0</v>
      </c>
      <c r="Q19" s="501">
        <f>Inputs!N471</f>
        <v>0</v>
      </c>
      <c r="R19" s="31">
        <f>Inputs!O471</f>
        <v>0</v>
      </c>
      <c r="S19" s="31">
        <f>Inputs!P471</f>
        <v>0</v>
      </c>
    </row>
    <row r="20" spans="1:19" x14ac:dyDescent="0.3">
      <c r="A20" s="43" t="s">
        <v>287</v>
      </c>
      <c r="C20" s="30" t="s">
        <v>51</v>
      </c>
      <c r="D20" s="355">
        <f ca="1">IF(Solver_wingarea=0,IF(wing_area_override=0,OFFSET(H20,0,scenario_nr),wing_area_override),Solver_wingarea)</f>
        <v>12</v>
      </c>
      <c r="E20" s="45" t="s">
        <v>416</v>
      </c>
      <c r="G20"/>
      <c r="I20" s="1621">
        <f>Inputs!F472</f>
        <v>90</v>
      </c>
      <c r="J20" s="1621">
        <f>Inputs!G472</f>
        <v>80</v>
      </c>
      <c r="K20" s="1622">
        <f>Inputs!H472</f>
        <v>80</v>
      </c>
      <c r="L20" s="1621">
        <f>Inputs!I472</f>
        <v>80</v>
      </c>
      <c r="M20" s="1623">
        <f>Inputs!J472</f>
        <v>80</v>
      </c>
      <c r="N20" s="1624">
        <f>Inputs!K472</f>
        <v>200</v>
      </c>
      <c r="O20" s="1624">
        <f>Inputs!L472</f>
        <v>200</v>
      </c>
      <c r="P20" s="1624">
        <f>Inputs!M472</f>
        <v>300</v>
      </c>
      <c r="Q20" s="1624">
        <f>Inputs!N472</f>
        <v>200</v>
      </c>
      <c r="R20" s="1624">
        <f>Inputs!O472</f>
        <v>300</v>
      </c>
      <c r="S20" s="1624">
        <f>Inputs!P472</f>
        <v>12</v>
      </c>
    </row>
    <row r="21" spans="1:19" x14ac:dyDescent="0.3">
      <c r="A21" s="43" t="s">
        <v>460</v>
      </c>
      <c r="C21" s="30" t="s">
        <v>456</v>
      </c>
      <c r="D21" s="359">
        <f ca="1">IF(P_level_override=0,OFFSET(H21,0,scenario_nr),P_level_override)</f>
        <v>1</v>
      </c>
      <c r="E21" s="45"/>
      <c r="G21" s="25"/>
      <c r="I21" s="1625">
        <f>Inputs!F473</f>
        <v>1</v>
      </c>
      <c r="J21" s="1625">
        <f>Inputs!G473</f>
        <v>1</v>
      </c>
      <c r="K21" s="1626">
        <f>Inputs!H473</f>
        <v>1</v>
      </c>
      <c r="L21" s="1625">
        <f>Inputs!I473</f>
        <v>1</v>
      </c>
      <c r="M21" s="1627">
        <f>Inputs!J473</f>
        <v>1</v>
      </c>
      <c r="N21" s="1627">
        <f>Inputs!K473</f>
        <v>1</v>
      </c>
      <c r="O21" s="1627">
        <f>Inputs!L473</f>
        <v>1</v>
      </c>
      <c r="P21" s="1627">
        <f>Inputs!M473</f>
        <v>1</v>
      </c>
      <c r="Q21" s="1627">
        <f>Inputs!N473</f>
        <v>1</v>
      </c>
      <c r="R21" s="1625">
        <f>Inputs!O473</f>
        <v>1</v>
      </c>
      <c r="S21" s="1625">
        <f>Inputs!P473</f>
        <v>1</v>
      </c>
    </row>
    <row r="22" spans="1:19" x14ac:dyDescent="0.3">
      <c r="A22" s="43" t="s">
        <v>910</v>
      </c>
      <c r="C22" s="30" t="s">
        <v>893</v>
      </c>
      <c r="D22" s="678">
        <f ca="1">OFFSET(H22,0,scenario_nr)</f>
        <v>12.5</v>
      </c>
      <c r="E22" s="45"/>
      <c r="G22" s="25"/>
      <c r="I22" s="1628">
        <f>Inputs!F474</f>
        <v>15</v>
      </c>
      <c r="J22" s="1628">
        <f>Inputs!G474</f>
        <v>12.5</v>
      </c>
      <c r="K22" s="1629">
        <f>Inputs!H474</f>
        <v>12.5</v>
      </c>
      <c r="L22" s="1628">
        <f>Inputs!I474</f>
        <v>12.5</v>
      </c>
      <c r="M22" s="1628">
        <f>Inputs!J474</f>
        <v>12.5</v>
      </c>
      <c r="N22" s="1628">
        <f>Inputs!K474</f>
        <v>15</v>
      </c>
      <c r="O22" s="1628">
        <f>Inputs!L474</f>
        <v>15</v>
      </c>
      <c r="P22" s="1628">
        <f>Inputs!M474</f>
        <v>16.666666666666668</v>
      </c>
      <c r="Q22" s="1628">
        <f>Inputs!N474</f>
        <v>20</v>
      </c>
      <c r="R22" s="1628">
        <f>Inputs!O474</f>
        <v>26.666666666666668</v>
      </c>
      <c r="S22" s="1628">
        <f>Inputs!P474</f>
        <v>12.5</v>
      </c>
    </row>
    <row r="23" spans="1:19" x14ac:dyDescent="0.3">
      <c r="A23" s="43" t="s">
        <v>286</v>
      </c>
      <c r="C23" s="30" t="s">
        <v>285</v>
      </c>
      <c r="D23" s="1129">
        <f ca="1">IF(Solver_P=0,D20*D22*D21,Solver_P)</f>
        <v>150</v>
      </c>
      <c r="E23" s="45" t="s">
        <v>127</v>
      </c>
      <c r="G23" s="45"/>
      <c r="I23" s="52">
        <f t="shared" ref="I23:R23" si="6">I20*I22*I21</f>
        <v>1350</v>
      </c>
      <c r="J23" s="52">
        <f t="shared" si="6"/>
        <v>1000</v>
      </c>
      <c r="K23" s="571">
        <f t="shared" si="6"/>
        <v>1000</v>
      </c>
      <c r="L23" s="52">
        <f t="shared" si="6"/>
        <v>1000</v>
      </c>
      <c r="M23" s="505">
        <f t="shared" si="6"/>
        <v>1000</v>
      </c>
      <c r="N23" s="52">
        <f t="shared" si="6"/>
        <v>3000</v>
      </c>
      <c r="O23" s="52">
        <f t="shared" si="6"/>
        <v>3000</v>
      </c>
      <c r="P23" s="52">
        <f t="shared" si="6"/>
        <v>5000</v>
      </c>
      <c r="Q23" s="504">
        <f t="shared" si="6"/>
        <v>4000</v>
      </c>
      <c r="R23" s="52">
        <f t="shared" si="6"/>
        <v>8000</v>
      </c>
      <c r="S23" s="52">
        <f>S20*S22*S21</f>
        <v>150</v>
      </c>
    </row>
    <row r="24" spans="1:19" x14ac:dyDescent="0.3">
      <c r="A24" s="342" t="s">
        <v>981</v>
      </c>
      <c r="B24" s="30"/>
      <c r="D24" s="678">
        <f ca="1">OFFSET(H24,0,scenario_nr)</f>
        <v>0.28000000000000003</v>
      </c>
      <c r="E24" s="45" t="s">
        <v>641</v>
      </c>
      <c r="G24" s="45"/>
      <c r="I24" s="1696">
        <f>Inputs!F475</f>
        <v>0.25</v>
      </c>
      <c r="J24" s="1696">
        <f>Inputs!G475</f>
        <v>0.25</v>
      </c>
      <c r="K24" s="1696">
        <f>Inputs!H475</f>
        <v>0.25</v>
      </c>
      <c r="L24" s="1670">
        <f>Inputs!I475</f>
        <v>0.23200000000000001</v>
      </c>
      <c r="M24" s="1697">
        <f>Inputs!J475</f>
        <v>0.23200000000000001</v>
      </c>
      <c r="N24" s="1670">
        <f>Inputs!K475</f>
        <v>0.2231532709382982</v>
      </c>
      <c r="O24" s="1670">
        <f>Inputs!L475</f>
        <v>0.2231532709382982</v>
      </c>
      <c r="P24" s="1670">
        <f>Inputs!M475</f>
        <v>0.23408738327785836</v>
      </c>
      <c r="Q24" s="1670">
        <f>Inputs!N475</f>
        <v>0.23408738327785836</v>
      </c>
      <c r="R24" s="1670">
        <f>Inputs!O475</f>
        <v>0.2</v>
      </c>
      <c r="S24" s="1670">
        <f>Inputs!P475</f>
        <v>0.28000000000000003</v>
      </c>
    </row>
    <row r="25" spans="1:19" x14ac:dyDescent="0.3">
      <c r="A25" s="43" t="s">
        <v>461</v>
      </c>
      <c r="C25" s="30" t="s">
        <v>456</v>
      </c>
      <c r="D25" s="359">
        <f ca="1">IF(Tp_level_override=0,OFFSET(H25,0,scenario_nr),Tp_level_override)</f>
        <v>1</v>
      </c>
      <c r="E25" s="45"/>
      <c r="G25" s="25"/>
      <c r="I25" s="1625">
        <f>Inputs!F476</f>
        <v>1</v>
      </c>
      <c r="J25" s="1625">
        <f>Inputs!G476</f>
        <v>1</v>
      </c>
      <c r="K25" s="1625">
        <f>Inputs!H476</f>
        <v>1</v>
      </c>
      <c r="L25" s="1625">
        <f>Inputs!I476</f>
        <v>1</v>
      </c>
      <c r="M25" s="1625">
        <f>Inputs!J476</f>
        <v>1</v>
      </c>
      <c r="N25" s="1625">
        <f>Inputs!K476</f>
        <v>1</v>
      </c>
      <c r="O25" s="1625">
        <f>Inputs!L476</f>
        <v>1</v>
      </c>
      <c r="P25" s="1625">
        <f>Inputs!M476</f>
        <v>1</v>
      </c>
      <c r="Q25" s="1625">
        <f>Inputs!N476</f>
        <v>1</v>
      </c>
      <c r="R25" s="1625">
        <f>Inputs!O476</f>
        <v>1</v>
      </c>
      <c r="S25" s="1625">
        <f>Inputs!P476</f>
        <v>1</v>
      </c>
    </row>
    <row r="26" spans="1:19" x14ac:dyDescent="0.3">
      <c r="A26" s="43" t="s">
        <v>217</v>
      </c>
      <c r="B26" s="30"/>
      <c r="C26" s="30" t="s">
        <v>284</v>
      </c>
      <c r="D26" s="55">
        <f ca="1">IF(Solver_Tmax=0,D$23*D24*D25,Solver_Tmax)</f>
        <v>42.000000000000007</v>
      </c>
      <c r="E26" s="53" t="s">
        <v>418</v>
      </c>
      <c r="G26" s="45"/>
      <c r="I26" s="52">
        <f t="shared" ref="I26:R26" si="7">IF(Solver_Tmax=0,I$23*I24*I25,Solver_Tmax)</f>
        <v>337.5</v>
      </c>
      <c r="J26" s="52">
        <f t="shared" si="7"/>
        <v>250</v>
      </c>
      <c r="K26" s="571">
        <f t="shared" si="7"/>
        <v>250</v>
      </c>
      <c r="L26" s="52">
        <f t="shared" si="7"/>
        <v>232</v>
      </c>
      <c r="M26" s="505">
        <f t="shared" si="7"/>
        <v>232</v>
      </c>
      <c r="N26" s="52">
        <f t="shared" si="7"/>
        <v>669.45981281489458</v>
      </c>
      <c r="O26" s="52">
        <f t="shared" si="7"/>
        <v>669.45981281489458</v>
      </c>
      <c r="P26" s="52">
        <f t="shared" si="7"/>
        <v>1170.4369163892918</v>
      </c>
      <c r="Q26" s="504">
        <f t="shared" si="7"/>
        <v>936.3495331114334</v>
      </c>
      <c r="R26" s="52">
        <f t="shared" si="7"/>
        <v>1600</v>
      </c>
      <c r="S26" s="52">
        <f>IF(Solver_Tmax=0,S$23*S24*S25,Solver_Tmax)</f>
        <v>42.000000000000007</v>
      </c>
    </row>
    <row r="27" spans="1:19" x14ac:dyDescent="0.3">
      <c r="A27" s="43" t="s">
        <v>412</v>
      </c>
      <c r="B27" s="30"/>
      <c r="C27" s="30" t="s">
        <v>284</v>
      </c>
      <c r="D27" s="1130">
        <f ca="1">Tmax_p</f>
        <v>42.000000000000007</v>
      </c>
      <c r="E27" s="45" t="s">
        <v>417</v>
      </c>
      <c r="G27" s="366"/>
      <c r="H27" s="366"/>
      <c r="I27" s="1137">
        <f t="shared" ref="I27:O27" si="8">I26</f>
        <v>337.5</v>
      </c>
      <c r="J27" s="1137">
        <f t="shared" si="8"/>
        <v>250</v>
      </c>
      <c r="K27" s="1137">
        <f t="shared" si="8"/>
        <v>250</v>
      </c>
      <c r="L27" s="1137">
        <f t="shared" si="8"/>
        <v>232</v>
      </c>
      <c r="M27" s="1137">
        <f t="shared" si="8"/>
        <v>232</v>
      </c>
      <c r="N27" s="1137">
        <f t="shared" si="8"/>
        <v>669.45981281489458</v>
      </c>
      <c r="O27" s="1137">
        <f t="shared" si="8"/>
        <v>669.45981281489458</v>
      </c>
      <c r="P27" s="1137">
        <f>P26</f>
        <v>1170.4369163892918</v>
      </c>
      <c r="Q27" s="1137">
        <f>Q26</f>
        <v>936.3495331114334</v>
      </c>
      <c r="R27" s="1137">
        <f>R26</f>
        <v>1600</v>
      </c>
      <c r="S27" s="1137">
        <f>S26</f>
        <v>42.000000000000007</v>
      </c>
    </row>
    <row r="28" spans="1:19" x14ac:dyDescent="0.3">
      <c r="A28" s="43" t="s">
        <v>945</v>
      </c>
      <c r="C28" s="30" t="s">
        <v>294</v>
      </c>
      <c r="D28" s="355">
        <f ca="1">IF(Q_override=0,OFFSET(H28,0,scenario_nr),Q_override)</f>
        <v>15000</v>
      </c>
      <c r="E28" s="45" t="s">
        <v>273</v>
      </c>
      <c r="G28" s="54"/>
      <c r="H28" s="1620"/>
      <c r="I28" s="1621">
        <f>Inputs!F477</f>
        <v>35</v>
      </c>
      <c r="J28" s="1621">
        <f>Inputs!G477</f>
        <v>35</v>
      </c>
      <c r="K28" s="1695">
        <f>Inputs!H477</f>
        <v>25</v>
      </c>
      <c r="L28" s="1621">
        <f>Inputs!I477</f>
        <v>1000</v>
      </c>
      <c r="M28" s="1623">
        <f>Inputs!J477</f>
        <v>1000</v>
      </c>
      <c r="N28" s="1624">
        <f>Inputs!K477</f>
        <v>5000</v>
      </c>
      <c r="O28" s="1624">
        <f>Inputs!L477</f>
        <v>5000</v>
      </c>
      <c r="P28" s="1624">
        <f>Inputs!M477</f>
        <v>5000</v>
      </c>
      <c r="Q28" s="1691">
        <f>Inputs!N477</f>
        <v>15000</v>
      </c>
      <c r="R28" s="1624">
        <f>Inputs!O477</f>
        <v>15000</v>
      </c>
      <c r="S28" s="1624">
        <f>Inputs!P477</f>
        <v>15000</v>
      </c>
    </row>
    <row r="29" spans="1:19" x14ac:dyDescent="0.3">
      <c r="A29" s="43" t="s">
        <v>946</v>
      </c>
      <c r="C29" s="30" t="s">
        <v>294</v>
      </c>
      <c r="D29" s="673">
        <f ca="1">OFFSET(H29,0,scenario_nr)</f>
        <v>5000</v>
      </c>
      <c r="E29" s="45" t="s">
        <v>947</v>
      </c>
      <c r="G29" s="54"/>
      <c r="H29" s="1620"/>
      <c r="I29" s="1621">
        <f>Inputs!F478</f>
        <v>100</v>
      </c>
      <c r="J29" s="1621">
        <f>Inputs!G478</f>
        <v>100</v>
      </c>
      <c r="K29" s="1622">
        <f>Inputs!H478</f>
        <v>100</v>
      </c>
      <c r="L29" s="1621">
        <f>Inputs!I478</f>
        <v>100</v>
      </c>
      <c r="M29" s="1623">
        <f>Inputs!J478</f>
        <v>100</v>
      </c>
      <c r="N29" s="1621">
        <f>Inputs!K478</f>
        <v>1000</v>
      </c>
      <c r="O29" s="1621">
        <f>Inputs!L478</f>
        <v>1000</v>
      </c>
      <c r="P29" s="1621">
        <f>Inputs!M478</f>
        <v>1000</v>
      </c>
      <c r="Q29" s="1630">
        <f>Inputs!N478</f>
        <v>5000</v>
      </c>
      <c r="R29" s="1621">
        <f>Inputs!O478</f>
        <v>5000</v>
      </c>
      <c r="S29" s="1621">
        <f>Inputs!P478</f>
        <v>5000</v>
      </c>
    </row>
    <row r="30" spans="1:19" x14ac:dyDescent="0.3">
      <c r="A30" s="43" t="s">
        <v>424</v>
      </c>
      <c r="C30" s="30" t="s">
        <v>173</v>
      </c>
      <c r="D30" s="355">
        <f ca="1">IF(Mp_override=0,('Mass dependency'!U38*(1-Scenarios!D56)*(1-Scenarios!D57)*(1-Scenarios!D59)*(1-Scenarios!D60))*(Scenarios!D61=0)+Scenarios!D61,Mp_override)</f>
        <v>436.56955251936</v>
      </c>
      <c r="E30" s="45" t="s">
        <v>389</v>
      </c>
      <c r="K30" s="570"/>
      <c r="M30" s="503"/>
      <c r="Q30" s="502"/>
    </row>
    <row r="31" spans="1:19" x14ac:dyDescent="0.3">
      <c r="D31" s="36"/>
      <c r="E31" s="45"/>
      <c r="K31" s="570"/>
      <c r="M31" s="503"/>
      <c r="Q31" s="502"/>
    </row>
    <row r="32" spans="1:19" x14ac:dyDescent="0.3">
      <c r="A32" s="40" t="s">
        <v>289</v>
      </c>
      <c r="B32" s="41"/>
      <c r="C32" s="343" t="s">
        <v>281</v>
      </c>
      <c r="D32" s="31" t="s">
        <v>282</v>
      </c>
      <c r="E32" s="42" t="s">
        <v>288</v>
      </c>
      <c r="F32" s="31" t="s">
        <v>1069</v>
      </c>
      <c r="G32" s="31"/>
      <c r="H32" s="31"/>
      <c r="I32" s="31"/>
      <c r="J32" s="31"/>
      <c r="K32" s="568"/>
      <c r="L32" s="31"/>
      <c r="M32" s="228"/>
      <c r="N32" s="31"/>
      <c r="O32" s="31"/>
      <c r="P32" s="31"/>
      <c r="Q32" s="501"/>
      <c r="R32" s="31"/>
      <c r="S32" s="31"/>
    </row>
    <row r="33" spans="1:19" x14ac:dyDescent="0.3">
      <c r="A33" s="43" t="s">
        <v>292</v>
      </c>
      <c r="B33" s="34"/>
      <c r="C33" s="30" t="s">
        <v>293</v>
      </c>
      <c r="D33" s="355">
        <f ca="1">IF(horizon_override=0,OFFSET(H33,0,scenario_nr),horizon_override)</f>
        <v>25</v>
      </c>
      <c r="E33" s="45" t="s">
        <v>397</v>
      </c>
      <c r="H33" s="1620"/>
      <c r="I33" s="1621">
        <f>Inputs!F480</f>
        <v>20</v>
      </c>
      <c r="J33" s="1621">
        <f>Inputs!G480</f>
        <v>20</v>
      </c>
      <c r="K33" s="1622">
        <f>Inputs!H480</f>
        <v>20</v>
      </c>
      <c r="L33" s="1621">
        <f>Inputs!I480</f>
        <v>20</v>
      </c>
      <c r="M33" s="1623">
        <f>Inputs!J480</f>
        <v>20</v>
      </c>
      <c r="N33" s="1624">
        <f>Inputs!K480</f>
        <v>25</v>
      </c>
      <c r="O33" s="1624">
        <f>Inputs!L480</f>
        <v>25</v>
      </c>
      <c r="P33" s="1624">
        <f>Inputs!M480</f>
        <v>25</v>
      </c>
      <c r="Q33" s="1694">
        <f>Inputs!N480</f>
        <v>30</v>
      </c>
      <c r="R33" s="1624">
        <f>Inputs!O480</f>
        <v>30</v>
      </c>
      <c r="S33" s="1624">
        <f>Inputs!P480</f>
        <v>25</v>
      </c>
    </row>
    <row r="34" spans="1:19" x14ac:dyDescent="0.3">
      <c r="A34" s="43" t="s">
        <v>501</v>
      </c>
      <c r="B34" s="34"/>
      <c r="C34" s="30" t="s">
        <v>294</v>
      </c>
      <c r="D34" s="355">
        <f ca="1">IF(N_override=0,OFFSET(H34,0,scenario_nr),N_override)</f>
        <v>30</v>
      </c>
      <c r="E34" s="45" t="s">
        <v>50</v>
      </c>
      <c r="H34" s="1620"/>
      <c r="I34" s="1621">
        <f>Inputs!F481</f>
        <v>30</v>
      </c>
      <c r="J34" s="1621">
        <f>Inputs!G481</f>
        <v>10</v>
      </c>
      <c r="K34" s="1622">
        <f>Inputs!H481</f>
        <v>10</v>
      </c>
      <c r="L34" s="1621">
        <f>Inputs!I481</f>
        <v>10</v>
      </c>
      <c r="M34" s="1623">
        <f>Inputs!J481</f>
        <v>10</v>
      </c>
      <c r="N34" s="1624">
        <f>Inputs!K481</f>
        <v>30</v>
      </c>
      <c r="O34" s="1624">
        <f>Inputs!L481</f>
        <v>30</v>
      </c>
      <c r="P34" s="1624">
        <f>Inputs!M481</f>
        <v>30</v>
      </c>
      <c r="Q34" s="1691">
        <f>Inputs!N481</f>
        <v>100</v>
      </c>
      <c r="R34" s="1624">
        <f>Inputs!O481</f>
        <v>100</v>
      </c>
      <c r="S34" s="1624">
        <f>Inputs!P481</f>
        <v>30</v>
      </c>
    </row>
    <row r="35" spans="1:19" x14ac:dyDescent="0.3">
      <c r="A35" s="43" t="s">
        <v>502</v>
      </c>
      <c r="B35" s="34"/>
      <c r="C35" s="30" t="s">
        <v>503</v>
      </c>
      <c r="D35" s="55">
        <f ca="1">N*P/1000</f>
        <v>4.5</v>
      </c>
      <c r="E35" s="45" t="s">
        <v>504</v>
      </c>
      <c r="I35" s="1522"/>
      <c r="J35" s="1522"/>
      <c r="K35" s="1523"/>
      <c r="L35" s="1522"/>
      <c r="M35" s="1524"/>
      <c r="N35" s="1522"/>
      <c r="O35" s="1522"/>
      <c r="P35" s="1522"/>
      <c r="Q35" s="1525"/>
      <c r="R35" s="1522"/>
      <c r="S35" s="1522"/>
    </row>
    <row r="36" spans="1:19" x14ac:dyDescent="0.3">
      <c r="A36" s="43" t="s">
        <v>736</v>
      </c>
      <c r="B36" s="34"/>
      <c r="C36" s="30" t="s">
        <v>465</v>
      </c>
      <c r="D36" s="359">
        <f ca="1">IF(Project_WACC_override=0,OFFSET(H36,0,scenario_nr),Project_WACC_override)</f>
        <v>0.1</v>
      </c>
      <c r="E36" s="45" t="s">
        <v>737</v>
      </c>
      <c r="H36" s="1620"/>
      <c r="I36" s="1656">
        <f>Inputs!F482</f>
        <v>0.1</v>
      </c>
      <c r="J36" s="1656">
        <f>Inputs!G482</f>
        <v>0.1</v>
      </c>
      <c r="K36" s="1662">
        <f>Inputs!H482</f>
        <v>0.1</v>
      </c>
      <c r="L36" s="1656">
        <f>Inputs!I482</f>
        <v>0.1</v>
      </c>
      <c r="M36" s="1663">
        <f>Inputs!J482</f>
        <v>0.1</v>
      </c>
      <c r="N36" s="1658">
        <f>Inputs!K482</f>
        <v>0.08</v>
      </c>
      <c r="O36" s="1658">
        <f>Inputs!L482</f>
        <v>0.08</v>
      </c>
      <c r="P36" s="1658">
        <f>Inputs!M482</f>
        <v>0.08</v>
      </c>
      <c r="Q36" s="1661">
        <f>Inputs!N482</f>
        <v>0.06</v>
      </c>
      <c r="R36" s="1658">
        <f>Inputs!O482</f>
        <v>0.06</v>
      </c>
      <c r="S36" s="1658">
        <f>Inputs!P482</f>
        <v>0.1</v>
      </c>
    </row>
    <row r="37" spans="1:19" x14ac:dyDescent="0.3">
      <c r="A37" s="43" t="s">
        <v>620</v>
      </c>
      <c r="C37" s="25" t="s">
        <v>619</v>
      </c>
      <c r="D37" s="354">
        <f ca="1">AEP</f>
        <v>528.86332173637288</v>
      </c>
      <c r="E37" s="56" t="s">
        <v>618</v>
      </c>
      <c r="I37"/>
      <c r="J37"/>
      <c r="K37" s="569"/>
      <c r="L37"/>
      <c r="M37"/>
      <c r="N37"/>
      <c r="O37"/>
      <c r="P37"/>
      <c r="Q37"/>
      <c r="R37"/>
      <c r="S37"/>
    </row>
    <row r="38" spans="1:19" x14ac:dyDescent="0.3">
      <c r="A38" s="43" t="s">
        <v>621</v>
      </c>
      <c r="C38" s="25" t="s">
        <v>619</v>
      </c>
      <c r="D38" s="122">
        <f ca="1">D37*N</f>
        <v>15865.899652091186</v>
      </c>
      <c r="E38" s="56" t="s">
        <v>760</v>
      </c>
      <c r="F38" s="1739">
        <f ca="1">CapFac</f>
        <v>0.40220801713922949</v>
      </c>
      <c r="I38"/>
      <c r="J38"/>
      <c r="K38" s="569"/>
      <c r="L38"/>
      <c r="M38"/>
      <c r="N38"/>
      <c r="O38"/>
      <c r="P38"/>
      <c r="Q38"/>
      <c r="R38"/>
      <c r="S38"/>
    </row>
    <row r="39" spans="1:19" x14ac:dyDescent="0.3">
      <c r="A39" s="43" t="s">
        <v>622</v>
      </c>
      <c r="C39" s="25" t="s">
        <v>551</v>
      </c>
      <c r="D39" s="122">
        <f ca="1">D38*Elec_price/1000</f>
        <v>396.64749130227966</v>
      </c>
      <c r="E39" s="56" t="s">
        <v>623</v>
      </c>
      <c r="I39"/>
      <c r="J39"/>
      <c r="K39" s="569"/>
      <c r="L39"/>
      <c r="M39"/>
      <c r="N39"/>
      <c r="O39"/>
      <c r="P39"/>
      <c r="Q39"/>
      <c r="R39"/>
      <c r="S39"/>
    </row>
    <row r="40" spans="1:19" x14ac:dyDescent="0.3">
      <c r="D40" s="36"/>
      <c r="E40" s="45"/>
      <c r="K40" s="570"/>
      <c r="M40" s="503"/>
      <c r="Q40" s="502"/>
    </row>
    <row r="41" spans="1:19" x14ac:dyDescent="0.3">
      <c r="A41" s="40" t="s">
        <v>454</v>
      </c>
      <c r="B41" s="41"/>
      <c r="C41" s="343" t="s">
        <v>281</v>
      </c>
      <c r="D41" s="31" t="s">
        <v>282</v>
      </c>
      <c r="E41" s="42" t="s">
        <v>288</v>
      </c>
      <c r="F41" s="31" t="s">
        <v>1069</v>
      </c>
      <c r="G41" s="31"/>
      <c r="H41" s="31"/>
      <c r="I41" s="31"/>
      <c r="J41" s="31"/>
      <c r="K41" s="568"/>
      <c r="L41" s="31"/>
      <c r="M41" s="228"/>
      <c r="N41" s="31"/>
      <c r="O41" s="31"/>
      <c r="P41" s="31"/>
      <c r="Q41" s="501"/>
      <c r="R41" s="31"/>
      <c r="S41" s="31"/>
    </row>
    <row r="42" spans="1:19" x14ac:dyDescent="0.3">
      <c r="A42" s="342" t="s">
        <v>571</v>
      </c>
      <c r="B42" s="26"/>
      <c r="C42" s="81" t="s">
        <v>551</v>
      </c>
      <c r="D42" s="674">
        <f ca="1">OFFSET(H42,0,scenario_nr)</f>
        <v>50</v>
      </c>
      <c r="E42" s="56" t="s">
        <v>572</v>
      </c>
      <c r="H42" s="1678"/>
      <c r="I42" s="1679">
        <f>Inputs!F484</f>
        <v>50</v>
      </c>
      <c r="J42" s="1679">
        <f>Inputs!G484</f>
        <v>50</v>
      </c>
      <c r="K42" s="1680">
        <f>Inputs!H484</f>
        <v>50</v>
      </c>
      <c r="L42" s="1679">
        <f>Inputs!I484</f>
        <v>50</v>
      </c>
      <c r="M42" s="1681">
        <f>Inputs!J484</f>
        <v>50</v>
      </c>
      <c r="N42" s="1679">
        <f>Inputs!K484</f>
        <v>50</v>
      </c>
      <c r="O42" s="1679">
        <f>Inputs!L484</f>
        <v>50</v>
      </c>
      <c r="P42" s="1679">
        <f>Inputs!M484</f>
        <v>50</v>
      </c>
      <c r="Q42" s="1682">
        <f>Inputs!N484</f>
        <v>50</v>
      </c>
      <c r="R42" s="1679">
        <f>Inputs!O484</f>
        <v>50</v>
      </c>
      <c r="S42" s="1679">
        <f>Inputs!P484</f>
        <v>50</v>
      </c>
    </row>
    <row r="43" spans="1:19" x14ac:dyDescent="0.3">
      <c r="A43" s="43" t="s">
        <v>735</v>
      </c>
      <c r="B43" s="34"/>
      <c r="C43" s="30" t="s">
        <v>465</v>
      </c>
      <c r="D43" s="359">
        <f ca="1">IF(Ampyx_WACC_override=0,OFFSET(H43,0,scenario_nr),Ampyx_WACC_override)</f>
        <v>0.15</v>
      </c>
      <c r="E43" s="45" t="s">
        <v>738</v>
      </c>
      <c r="H43" s="1620"/>
      <c r="I43" s="1656">
        <f>Inputs!F485</f>
        <v>0.15</v>
      </c>
      <c r="J43" s="1656">
        <f>Inputs!G485</f>
        <v>0.15</v>
      </c>
      <c r="K43" s="1662">
        <f>Inputs!H485</f>
        <v>0.15</v>
      </c>
      <c r="L43" s="1656">
        <f>Inputs!I485</f>
        <v>0.15</v>
      </c>
      <c r="M43" s="1663">
        <f>Inputs!J485</f>
        <v>0.15</v>
      </c>
      <c r="N43" s="1656">
        <f>Inputs!K485</f>
        <v>0.15</v>
      </c>
      <c r="O43" s="1656">
        <f>Inputs!L485</f>
        <v>0.15</v>
      </c>
      <c r="P43" s="1656">
        <f>Inputs!M485</f>
        <v>0.15</v>
      </c>
      <c r="Q43" s="1660">
        <f>Inputs!N485</f>
        <v>0.15</v>
      </c>
      <c r="R43" s="1656">
        <f>Inputs!O485</f>
        <v>0.15</v>
      </c>
      <c r="S43" s="1656">
        <f>Inputs!P485</f>
        <v>0.15</v>
      </c>
    </row>
    <row r="44" spans="1:19" x14ac:dyDescent="0.3">
      <c r="A44" s="43" t="s">
        <v>436</v>
      </c>
      <c r="B44" s="26"/>
      <c r="C44" s="81" t="s">
        <v>415</v>
      </c>
      <c r="D44" s="675">
        <f ca="1">OFFSET(H44,0,scenario_nr)</f>
        <v>0.2</v>
      </c>
      <c r="E44" s="56" t="s">
        <v>308</v>
      </c>
      <c r="H44" s="1678"/>
      <c r="I44" s="1683">
        <f>Inputs!F486</f>
        <v>0.2</v>
      </c>
      <c r="J44" s="1683">
        <f>Inputs!G486</f>
        <v>0.2</v>
      </c>
      <c r="K44" s="1684">
        <f>Inputs!H486</f>
        <v>0.2</v>
      </c>
      <c r="L44" s="1683">
        <f>Inputs!I486</f>
        <v>0.2</v>
      </c>
      <c r="M44" s="1685">
        <f>Inputs!J486</f>
        <v>0.2</v>
      </c>
      <c r="N44" s="1683">
        <f>Inputs!K486</f>
        <v>0.2</v>
      </c>
      <c r="O44" s="1683">
        <f>Inputs!L486</f>
        <v>0.2</v>
      </c>
      <c r="P44" s="1683">
        <f>Inputs!M486</f>
        <v>0.2</v>
      </c>
      <c r="Q44" s="1686">
        <f>Inputs!N486</f>
        <v>0.2</v>
      </c>
      <c r="R44" s="1683">
        <f>Inputs!O486</f>
        <v>0.2</v>
      </c>
      <c r="S44" s="1683">
        <f>Inputs!P486</f>
        <v>0.2</v>
      </c>
    </row>
    <row r="45" spans="1:19" x14ac:dyDescent="0.3">
      <c r="A45" s="43" t="s">
        <v>437</v>
      </c>
      <c r="B45" s="26"/>
      <c r="C45" s="81" t="s">
        <v>51</v>
      </c>
      <c r="D45" s="676">
        <f ca="1">OFFSET(H45,0,scenario_nr)</f>
        <v>60</v>
      </c>
      <c r="E45" s="56" t="s">
        <v>419</v>
      </c>
      <c r="H45" s="1678"/>
      <c r="I45" s="1687">
        <f>Inputs!F487</f>
        <v>60</v>
      </c>
      <c r="J45" s="1687">
        <f>Inputs!G487</f>
        <v>60</v>
      </c>
      <c r="K45" s="1688">
        <f>Inputs!H487</f>
        <v>60</v>
      </c>
      <c r="L45" s="1687">
        <f>Inputs!I487</f>
        <v>60</v>
      </c>
      <c r="M45" s="1689">
        <f>Inputs!J487</f>
        <v>60</v>
      </c>
      <c r="N45" s="1687">
        <f>Inputs!K487</f>
        <v>60</v>
      </c>
      <c r="O45" s="1687">
        <f>Inputs!L487</f>
        <v>60</v>
      </c>
      <c r="P45" s="1687">
        <f>Inputs!M487</f>
        <v>60</v>
      </c>
      <c r="Q45" s="1690">
        <f>Inputs!N487</f>
        <v>60</v>
      </c>
      <c r="R45" s="1687">
        <f>Inputs!O487</f>
        <v>60</v>
      </c>
      <c r="S45" s="1687">
        <f>Inputs!P487</f>
        <v>60</v>
      </c>
    </row>
    <row r="46" spans="1:19" x14ac:dyDescent="0.3">
      <c r="A46" s="43" t="s">
        <v>438</v>
      </c>
      <c r="C46" s="25" t="s">
        <v>439</v>
      </c>
      <c r="D46" s="676">
        <f ca="1">OFFSET(H46,0,scenario_nr)</f>
        <v>25</v>
      </c>
      <c r="E46" s="56" t="s">
        <v>617</v>
      </c>
      <c r="H46" s="1620"/>
      <c r="I46" s="1621">
        <f>Inputs!F488</f>
        <v>150</v>
      </c>
      <c r="J46" s="1621">
        <f>Inputs!G488</f>
        <v>150</v>
      </c>
      <c r="K46" s="1622">
        <f>Inputs!H488</f>
        <v>150</v>
      </c>
      <c r="L46" s="1621">
        <f>Inputs!I488</f>
        <v>150</v>
      </c>
      <c r="M46" s="1623">
        <f>Inputs!J488</f>
        <v>150</v>
      </c>
      <c r="N46" s="1624">
        <f>Inputs!K488</f>
        <v>25</v>
      </c>
      <c r="O46" s="1624">
        <f>Inputs!L488</f>
        <v>25</v>
      </c>
      <c r="P46" s="1624">
        <f>Inputs!M488</f>
        <v>25</v>
      </c>
      <c r="Q46" s="1691">
        <f>Inputs!N488</f>
        <v>25</v>
      </c>
      <c r="R46" s="1624">
        <f>Inputs!O488</f>
        <v>25</v>
      </c>
      <c r="S46" s="1624">
        <f>Inputs!P488</f>
        <v>25</v>
      </c>
    </row>
    <row r="47" spans="1:19" x14ac:dyDescent="0.3">
      <c r="A47" s="43" t="s">
        <v>739</v>
      </c>
      <c r="C47" s="480">
        <v>0.1</v>
      </c>
      <c r="D47" s="359">
        <f t="array" aca="1" ref="D47" ca="1">IF(AWES_margin_override=0,OFFSET(H47,0,scenario_nr),AWES_margin_override)</f>
        <v>0.1</v>
      </c>
      <c r="E47" s="56" t="s">
        <v>742</v>
      </c>
      <c r="H47" s="1620"/>
      <c r="I47" s="1625">
        <f>Inputs!F489</f>
        <v>0.1</v>
      </c>
      <c r="J47" s="1625">
        <f>Inputs!G489</f>
        <v>0.2</v>
      </c>
      <c r="K47" s="1626">
        <f>Inputs!H489</f>
        <v>0.2</v>
      </c>
      <c r="L47" s="1625">
        <f>Inputs!I489</f>
        <v>0.2</v>
      </c>
      <c r="M47" s="1627">
        <f>Inputs!J489</f>
        <v>0.2</v>
      </c>
      <c r="N47" s="1692">
        <f>Inputs!K489</f>
        <v>0.15</v>
      </c>
      <c r="O47" s="1692">
        <f>Inputs!L489</f>
        <v>0.15</v>
      </c>
      <c r="P47" s="1692">
        <f>Inputs!M489</f>
        <v>0.15</v>
      </c>
      <c r="Q47" s="1693">
        <f>Inputs!N489</f>
        <v>0.1</v>
      </c>
      <c r="R47" s="1692">
        <f>Inputs!O489</f>
        <v>0.1</v>
      </c>
      <c r="S47" s="1692">
        <f>Inputs!P489</f>
        <v>0.1</v>
      </c>
    </row>
    <row r="48" spans="1:19" x14ac:dyDescent="0.3">
      <c r="A48" s="43" t="s">
        <v>740</v>
      </c>
      <c r="C48" s="480">
        <v>0.1</v>
      </c>
      <c r="D48" s="359">
        <f t="array" aca="1" ref="D48" ca="1">IF(SP_margin_override=0,OFFSET(H48,0,scenario_nr),SP_margin_override)</f>
        <v>0.1</v>
      </c>
      <c r="E48" s="56" t="s">
        <v>741</v>
      </c>
      <c r="H48" s="1620"/>
      <c r="I48" s="1625">
        <f>Inputs!F490</f>
        <v>0.1</v>
      </c>
      <c r="J48" s="1625">
        <f>Inputs!G490</f>
        <v>0.2</v>
      </c>
      <c r="K48" s="1626">
        <f>Inputs!H490</f>
        <v>0.2</v>
      </c>
      <c r="L48" s="1625">
        <f>Inputs!I490</f>
        <v>0.2</v>
      </c>
      <c r="M48" s="1627">
        <f>Inputs!J490</f>
        <v>0.2</v>
      </c>
      <c r="N48" s="1692">
        <f>Inputs!K490</f>
        <v>0.15</v>
      </c>
      <c r="O48" s="1692">
        <f>Inputs!L490</f>
        <v>0.15</v>
      </c>
      <c r="P48" s="1692">
        <f>Inputs!M490</f>
        <v>0.15</v>
      </c>
      <c r="Q48" s="1693">
        <f>Inputs!N490</f>
        <v>0.1</v>
      </c>
      <c r="R48" s="1692">
        <f>Inputs!O490</f>
        <v>0.1</v>
      </c>
      <c r="S48" s="1692">
        <f>Inputs!P490</f>
        <v>0.1</v>
      </c>
    </row>
    <row r="49" spans="1:19" x14ac:dyDescent="0.3">
      <c r="A49" s="43" t="s">
        <v>743</v>
      </c>
      <c r="C49" s="25" t="s">
        <v>415</v>
      </c>
      <c r="D49" s="677">
        <f ca="1">OFFSET(H49,0,scenario_nr)</f>
        <v>0</v>
      </c>
      <c r="E49" s="56" t="s">
        <v>744</v>
      </c>
      <c r="H49" s="1620"/>
      <c r="I49" s="1625">
        <f>Inputs!F491</f>
        <v>0</v>
      </c>
      <c r="J49" s="1625">
        <f>Inputs!G491</f>
        <v>0</v>
      </c>
      <c r="K49" s="1626">
        <f>Inputs!H491</f>
        <v>0</v>
      </c>
      <c r="L49" s="1625">
        <f>Inputs!I491</f>
        <v>0</v>
      </c>
      <c r="M49" s="1627">
        <f>Inputs!J491</f>
        <v>0</v>
      </c>
      <c r="N49" s="1625">
        <f>Inputs!K491</f>
        <v>0</v>
      </c>
      <c r="O49" s="1625">
        <f>Inputs!L491</f>
        <v>0</v>
      </c>
      <c r="P49" s="1625">
        <f>Inputs!M491</f>
        <v>0</v>
      </c>
      <c r="Q49" s="1635">
        <f>Inputs!N491</f>
        <v>0</v>
      </c>
      <c r="R49" s="1625">
        <f>Inputs!O491</f>
        <v>0</v>
      </c>
      <c r="S49" s="1625">
        <f>Inputs!P491</f>
        <v>0</v>
      </c>
    </row>
    <row r="50" spans="1:19" x14ac:dyDescent="0.3">
      <c r="A50"/>
      <c r="C50" s="25"/>
      <c r="D50"/>
      <c r="E50"/>
      <c r="F50"/>
      <c r="G50"/>
      <c r="I50"/>
      <c r="J50"/>
      <c r="K50" s="569"/>
      <c r="L50"/>
      <c r="M50" s="153"/>
      <c r="N50"/>
      <c r="O50"/>
      <c r="P50"/>
      <c r="Q50" s="154"/>
      <c r="R50"/>
      <c r="S50"/>
    </row>
    <row r="51" spans="1:19" x14ac:dyDescent="0.3">
      <c r="A51" s="40" t="s">
        <v>291</v>
      </c>
      <c r="B51" s="41"/>
      <c r="C51" s="343" t="s">
        <v>281</v>
      </c>
      <c r="D51" s="31" t="s">
        <v>282</v>
      </c>
      <c r="E51" s="42" t="s">
        <v>288</v>
      </c>
      <c r="F51" s="31" t="s">
        <v>1069</v>
      </c>
      <c r="G51" s="31"/>
      <c r="H51" s="31"/>
      <c r="I51" s="31"/>
      <c r="J51" s="31"/>
      <c r="K51" s="568"/>
      <c r="L51" s="31"/>
      <c r="M51" s="228"/>
      <c r="N51" s="31"/>
      <c r="O51" s="31"/>
      <c r="P51" s="31"/>
      <c r="Q51" s="501"/>
      <c r="R51" s="31"/>
      <c r="S51" s="31"/>
    </row>
    <row r="52" spans="1:19" outlineLevel="1" x14ac:dyDescent="0.3">
      <c r="A52" s="43" t="s">
        <v>140</v>
      </c>
      <c r="D52" s="354" t="str">
        <f ca="1">gen_letter</f>
        <v>E</v>
      </c>
      <c r="E52" s="45"/>
      <c r="H52" s="32"/>
      <c r="I52" s="32"/>
      <c r="J52" s="32"/>
      <c r="K52" s="572"/>
      <c r="L52" s="32"/>
      <c r="M52" s="507"/>
      <c r="N52" s="32"/>
      <c r="O52" s="32"/>
      <c r="P52" s="32"/>
      <c r="Q52" s="506"/>
      <c r="R52" s="32"/>
      <c r="S52" s="32"/>
    </row>
    <row r="53" spans="1:19" s="1844" customFormat="1" outlineLevel="1" x14ac:dyDescent="0.3">
      <c r="A53" s="1843" t="s">
        <v>902</v>
      </c>
      <c r="C53" s="1845"/>
      <c r="D53" s="1846">
        <f t="shared" ref="D53:D73" ca="1" si="9">OFFSET(H53,0,scenario_nr)</f>
        <v>0.95</v>
      </c>
      <c r="F53" s="1845" t="s">
        <v>143</v>
      </c>
      <c r="G53" s="1845"/>
      <c r="H53" s="1847"/>
      <c r="I53" s="1848">
        <f>Inputs!F493</f>
        <v>1</v>
      </c>
      <c r="J53" s="1848">
        <f>Inputs!G493</f>
        <v>1</v>
      </c>
      <c r="K53" s="1849">
        <f>Inputs!H493</f>
        <v>0.95</v>
      </c>
      <c r="L53" s="1848">
        <f>Inputs!I493</f>
        <v>1</v>
      </c>
      <c r="M53" s="1850">
        <f>Inputs!J493</f>
        <v>1</v>
      </c>
      <c r="N53" s="1848">
        <f>Inputs!K493</f>
        <v>1</v>
      </c>
      <c r="O53" s="1848">
        <f>Inputs!L493</f>
        <v>1</v>
      </c>
      <c r="P53" s="1848">
        <f>Inputs!M493</f>
        <v>1</v>
      </c>
      <c r="Q53" s="1851">
        <f>Inputs!N493</f>
        <v>1</v>
      </c>
      <c r="R53" s="1848">
        <f>Inputs!O493</f>
        <v>0</v>
      </c>
      <c r="S53" s="1848">
        <f>Inputs!P493</f>
        <v>0.95</v>
      </c>
    </row>
    <row r="54" spans="1:19" s="76" customFormat="1" outlineLevel="1" x14ac:dyDescent="0.3">
      <c r="A54" s="356" t="s">
        <v>142</v>
      </c>
      <c r="C54" s="345"/>
      <c r="D54" s="268">
        <f t="shared" ca="1" si="9"/>
        <v>1</v>
      </c>
      <c r="F54" s="75"/>
      <c r="H54" s="1655"/>
      <c r="I54" s="1625">
        <f>Inputs!F494</f>
        <v>0.95</v>
      </c>
      <c r="J54" s="1625">
        <f>Inputs!G494</f>
        <v>0.95</v>
      </c>
      <c r="K54" s="1626">
        <f>Inputs!H494</f>
        <v>0.95</v>
      </c>
      <c r="L54" s="1625">
        <f>Inputs!I494</f>
        <v>0.95</v>
      </c>
      <c r="M54" s="1627">
        <f>Inputs!J494</f>
        <v>0.95</v>
      </c>
      <c r="N54" s="1625">
        <f>Inputs!K494</f>
        <v>0.95</v>
      </c>
      <c r="O54" s="1625">
        <f>Inputs!L494</f>
        <v>0.95</v>
      </c>
      <c r="P54" s="1625">
        <f>Inputs!M494</f>
        <v>0.95</v>
      </c>
      <c r="Q54" s="1635">
        <f>Inputs!N494</f>
        <v>0.95</v>
      </c>
      <c r="R54" s="1625">
        <f>Inputs!O494</f>
        <v>0.95</v>
      </c>
      <c r="S54" s="1625">
        <f>Inputs!P494</f>
        <v>1</v>
      </c>
    </row>
    <row r="55" spans="1:19" s="76" customFormat="1" outlineLevel="1" x14ac:dyDescent="0.3">
      <c r="A55" s="356" t="s">
        <v>0</v>
      </c>
      <c r="C55" s="345"/>
      <c r="D55" s="268">
        <f t="shared" ca="1" si="9"/>
        <v>1</v>
      </c>
      <c r="F55" s="345" t="s">
        <v>209</v>
      </c>
      <c r="G55" s="345"/>
      <c r="H55" s="1655"/>
      <c r="I55" s="1625">
        <f>Inputs!F495</f>
        <v>0.95</v>
      </c>
      <c r="J55" s="1625">
        <f>Inputs!G495</f>
        <v>0.95</v>
      </c>
      <c r="K55" s="1626">
        <f>Inputs!H495</f>
        <v>0.95</v>
      </c>
      <c r="L55" s="1625">
        <f>Inputs!I495</f>
        <v>0.95</v>
      </c>
      <c r="M55" s="1627">
        <f>Inputs!J495</f>
        <v>0.95</v>
      </c>
      <c r="N55" s="1625">
        <f>Inputs!K495</f>
        <v>0.95</v>
      </c>
      <c r="O55" s="1625">
        <f>Inputs!L495</f>
        <v>0.95</v>
      </c>
      <c r="P55" s="1625">
        <f>Inputs!M495</f>
        <v>0.95</v>
      </c>
      <c r="Q55" s="1635">
        <f>Inputs!N495</f>
        <v>0.95</v>
      </c>
      <c r="R55" s="1625">
        <f>Inputs!O495</f>
        <v>0.95</v>
      </c>
      <c r="S55" s="1625">
        <f>Inputs!P495</f>
        <v>1</v>
      </c>
    </row>
    <row r="56" spans="1:19" outlineLevel="1" x14ac:dyDescent="0.3">
      <c r="A56" s="43" t="s">
        <v>95</v>
      </c>
      <c r="B56" s="59"/>
      <c r="C56" s="344" t="s">
        <v>414</v>
      </c>
      <c r="D56" s="675">
        <f t="shared" ca="1" si="9"/>
        <v>0</v>
      </c>
      <c r="E56" s="53"/>
      <c r="F56" s="60"/>
      <c r="G56" s="60"/>
      <c r="H56" s="1620"/>
      <c r="I56" s="1656">
        <f>Inputs!F496</f>
        <v>0.2</v>
      </c>
      <c r="J56" s="1656">
        <f>Inputs!G496</f>
        <v>0</v>
      </c>
      <c r="K56" s="1657">
        <f>Inputs!H496</f>
        <v>0.2</v>
      </c>
      <c r="L56" s="1658">
        <f>Inputs!I496</f>
        <v>0.2</v>
      </c>
      <c r="M56" s="1659">
        <f>Inputs!J496</f>
        <v>0.2</v>
      </c>
      <c r="N56" s="1656">
        <f>Inputs!K496</f>
        <v>0.2</v>
      </c>
      <c r="O56" s="1656">
        <f>Inputs!L496</f>
        <v>0.2</v>
      </c>
      <c r="P56" s="1656">
        <f>Inputs!M496</f>
        <v>0.2</v>
      </c>
      <c r="Q56" s="1660">
        <f>Inputs!N496</f>
        <v>0.2</v>
      </c>
      <c r="R56" s="1656">
        <f>Inputs!O496</f>
        <v>0.2</v>
      </c>
      <c r="S56" s="1656">
        <f>Inputs!P496</f>
        <v>0</v>
      </c>
    </row>
    <row r="57" spans="1:19" outlineLevel="1" x14ac:dyDescent="0.3">
      <c r="A57" s="43" t="s">
        <v>94</v>
      </c>
      <c r="B57" s="59"/>
      <c r="C57" s="344" t="s">
        <v>414</v>
      </c>
      <c r="D57" s="675">
        <f t="shared" ca="1" si="9"/>
        <v>0</v>
      </c>
      <c r="E57" s="53"/>
      <c r="F57" s="60"/>
      <c r="G57" s="60"/>
      <c r="H57" s="1620"/>
      <c r="I57" s="1656">
        <f>Inputs!F497</f>
        <v>0.14374999999999999</v>
      </c>
      <c r="J57" s="1656">
        <f>Inputs!G497</f>
        <v>0</v>
      </c>
      <c r="K57" s="1656">
        <f>Inputs!H497</f>
        <v>0</v>
      </c>
      <c r="L57" s="1656">
        <f>Inputs!I497</f>
        <v>0</v>
      </c>
      <c r="M57" s="1656">
        <f>Inputs!J497</f>
        <v>0</v>
      </c>
      <c r="N57" s="1656">
        <f>Inputs!K497</f>
        <v>0</v>
      </c>
      <c r="O57" s="1656">
        <f>Inputs!L497</f>
        <v>0</v>
      </c>
      <c r="P57" s="1656">
        <f>Inputs!M497</f>
        <v>0</v>
      </c>
      <c r="Q57" s="1661">
        <f>Inputs!N497</f>
        <v>0.14374999999999999</v>
      </c>
      <c r="R57" s="1658">
        <f>Inputs!O497</f>
        <v>0.14374999999999999</v>
      </c>
      <c r="S57" s="1658">
        <f>Inputs!P497</f>
        <v>0</v>
      </c>
    </row>
    <row r="58" spans="1:19" outlineLevel="1" x14ac:dyDescent="0.3">
      <c r="A58" s="43" t="s">
        <v>811</v>
      </c>
      <c r="B58" s="59"/>
      <c r="C58" s="344"/>
      <c r="D58" s="675">
        <f t="shared" ca="1" si="9"/>
        <v>0.85</v>
      </c>
      <c r="E58" s="53"/>
      <c r="F58" s="60"/>
      <c r="G58" s="60"/>
      <c r="H58" s="1620"/>
      <c r="I58" s="1656">
        <f>Inputs!F498</f>
        <v>0.6</v>
      </c>
      <c r="J58" s="1656">
        <f>Inputs!G498</f>
        <v>0.6</v>
      </c>
      <c r="K58" s="1662">
        <f>Inputs!H498</f>
        <v>0.6</v>
      </c>
      <c r="L58" s="1656">
        <f>Inputs!I498</f>
        <v>0.6</v>
      </c>
      <c r="M58" s="1663">
        <f>Inputs!J498</f>
        <v>0.6</v>
      </c>
      <c r="N58" s="1664">
        <f>Inputs!K498</f>
        <v>0.72499999999999998</v>
      </c>
      <c r="O58" s="1664">
        <f>Inputs!L498</f>
        <v>0.72499999999999998</v>
      </c>
      <c r="P58" s="1664">
        <f>Inputs!M498</f>
        <v>0.72499999999999998</v>
      </c>
      <c r="Q58" s="1661">
        <f>Inputs!N498</f>
        <v>0.85</v>
      </c>
      <c r="R58" s="1658">
        <f>Inputs!O498</f>
        <v>0.85</v>
      </c>
      <c r="S58" s="1658">
        <f>Inputs!P498</f>
        <v>0.85</v>
      </c>
    </row>
    <row r="59" spans="1:19" outlineLevel="1" x14ac:dyDescent="0.3">
      <c r="A59" s="43" t="s">
        <v>96</v>
      </c>
      <c r="B59" s="59"/>
      <c r="C59" s="344" t="s">
        <v>414</v>
      </c>
      <c r="D59" s="675">
        <f t="shared" ca="1" si="9"/>
        <v>0</v>
      </c>
      <c r="E59" s="53"/>
      <c r="F59" s="60"/>
      <c r="G59" s="60"/>
      <c r="H59" s="1620"/>
      <c r="I59" s="1656">
        <f>Inputs!F499</f>
        <v>0.05</v>
      </c>
      <c r="J59" s="1663">
        <f>Inputs!G499</f>
        <v>0</v>
      </c>
      <c r="K59" s="1663">
        <f>Inputs!H499</f>
        <v>0</v>
      </c>
      <c r="L59" s="1663">
        <f>Inputs!I499</f>
        <v>0</v>
      </c>
      <c r="M59" s="1663">
        <f>Inputs!J499</f>
        <v>0</v>
      </c>
      <c r="N59" s="1658">
        <f>Inputs!K499</f>
        <v>0.05</v>
      </c>
      <c r="O59" s="1658">
        <f>Inputs!L499</f>
        <v>0.05</v>
      </c>
      <c r="P59" s="1658">
        <f>Inputs!M499</f>
        <v>0.05</v>
      </c>
      <c r="Q59" s="1660">
        <f>Inputs!N499</f>
        <v>0.05</v>
      </c>
      <c r="R59" s="1656">
        <f>Inputs!O499</f>
        <v>0.05</v>
      </c>
      <c r="S59" s="1656">
        <f>Inputs!P499</f>
        <v>0</v>
      </c>
    </row>
    <row r="60" spans="1:19" outlineLevel="1" x14ac:dyDescent="0.3">
      <c r="A60" s="43" t="s">
        <v>98</v>
      </c>
      <c r="B60" s="47"/>
      <c r="C60" s="344" t="s">
        <v>414</v>
      </c>
      <c r="D60" s="675">
        <f t="shared" ca="1" si="9"/>
        <v>0</v>
      </c>
      <c r="E60" s="53"/>
      <c r="F60" s="60"/>
      <c r="G60" s="60"/>
      <c r="H60" s="1620"/>
      <c r="I60" s="1656">
        <f>Inputs!F500</f>
        <v>0.2</v>
      </c>
      <c r="J60" s="1663">
        <f>Inputs!G500</f>
        <v>0</v>
      </c>
      <c r="K60" s="1663">
        <f>Inputs!H500</f>
        <v>0</v>
      </c>
      <c r="L60" s="1663">
        <f>Inputs!I500</f>
        <v>0</v>
      </c>
      <c r="M60" s="1663">
        <f>Inputs!J500</f>
        <v>0</v>
      </c>
      <c r="N60" s="1665">
        <f>Inputs!K500</f>
        <v>0.05</v>
      </c>
      <c r="O60" s="1665">
        <f>Inputs!L500</f>
        <v>0.05</v>
      </c>
      <c r="P60" s="1665">
        <f>Inputs!M500</f>
        <v>0.05</v>
      </c>
      <c r="Q60" s="1660">
        <f>Inputs!N500</f>
        <v>0.2</v>
      </c>
      <c r="R60" s="1656">
        <f>Inputs!O500</f>
        <v>0.2</v>
      </c>
      <c r="S60" s="1656">
        <f>Inputs!P500</f>
        <v>0</v>
      </c>
    </row>
    <row r="61" spans="1:19" outlineLevel="1" x14ac:dyDescent="0.3">
      <c r="A61" s="43" t="s">
        <v>172</v>
      </c>
      <c r="B61" s="59"/>
      <c r="C61" s="30" t="s">
        <v>173</v>
      </c>
      <c r="D61" s="1521">
        <f t="shared" ca="1" si="9"/>
        <v>0</v>
      </c>
      <c r="E61" s="53"/>
      <c r="F61" s="33"/>
      <c r="G61" s="33"/>
      <c r="H61" s="1620"/>
      <c r="I61" s="1621">
        <f>Inputs!F501</f>
        <v>0</v>
      </c>
      <c r="J61" s="1621">
        <f>Inputs!G501</f>
        <v>0</v>
      </c>
      <c r="K61" s="1622">
        <f>Inputs!H501</f>
        <v>4000</v>
      </c>
      <c r="L61" s="1621">
        <f>Inputs!I501</f>
        <v>0</v>
      </c>
      <c r="M61" s="1623">
        <f>Inputs!J501</f>
        <v>0</v>
      </c>
      <c r="N61" s="1621">
        <f>Inputs!K501</f>
        <v>0</v>
      </c>
      <c r="O61" s="1621">
        <f>Inputs!L501</f>
        <v>0</v>
      </c>
      <c r="P61" s="1621">
        <f>Inputs!M501</f>
        <v>0</v>
      </c>
      <c r="Q61" s="1621">
        <f>Inputs!N501</f>
        <v>0</v>
      </c>
      <c r="R61" s="1621">
        <f>Inputs!O501</f>
        <v>0</v>
      </c>
      <c r="S61" s="1621">
        <f>Inputs!P501</f>
        <v>0</v>
      </c>
    </row>
    <row r="62" spans="1:19" outlineLevel="1" x14ac:dyDescent="0.3">
      <c r="A62" s="43" t="s">
        <v>4</v>
      </c>
      <c r="B62" s="59"/>
      <c r="D62" s="1982">
        <v>2.5</v>
      </c>
      <c r="E62" s="53" t="s">
        <v>272</v>
      </c>
      <c r="F62" s="60"/>
      <c r="G62" s="60"/>
      <c r="H62" s="1620"/>
      <c r="I62" s="1666">
        <f>Inputs!F502</f>
        <v>2.5</v>
      </c>
      <c r="J62" s="1666">
        <f>Inputs!G502</f>
        <v>2.5</v>
      </c>
      <c r="K62" s="1667">
        <f>Inputs!H502</f>
        <v>2.5</v>
      </c>
      <c r="L62" s="1666">
        <f>Inputs!I502</f>
        <v>2.5</v>
      </c>
      <c r="M62" s="1668">
        <f>Inputs!J502</f>
        <v>2.5</v>
      </c>
      <c r="N62" s="1666">
        <f>Inputs!K502</f>
        <v>2.5</v>
      </c>
      <c r="O62" s="1666">
        <f>Inputs!L502</f>
        <v>2.5</v>
      </c>
      <c r="P62" s="1666">
        <f>Inputs!M502</f>
        <v>2.5</v>
      </c>
      <c r="Q62" s="1669">
        <f>Inputs!N502</f>
        <v>2.5</v>
      </c>
      <c r="R62" s="1666">
        <f>Inputs!O502</f>
        <v>2.5</v>
      </c>
      <c r="S62" s="1666">
        <f>Inputs!P502</f>
        <v>2.5</v>
      </c>
    </row>
    <row r="63" spans="1:19" outlineLevel="1" x14ac:dyDescent="0.3">
      <c r="A63" s="43" t="s">
        <v>174</v>
      </c>
      <c r="B63" s="59"/>
      <c r="C63" s="30" t="s">
        <v>175</v>
      </c>
      <c r="D63" s="676">
        <f t="shared" ca="1" si="9"/>
        <v>100</v>
      </c>
      <c r="E63" s="53"/>
      <c r="F63" s="33"/>
      <c r="G63" s="33"/>
      <c r="H63" s="1620"/>
      <c r="I63" s="1621">
        <f>Inputs!F503</f>
        <v>100</v>
      </c>
      <c r="J63" s="1621">
        <f>Inputs!G503</f>
        <v>100</v>
      </c>
      <c r="K63" s="1622">
        <f>Inputs!H503</f>
        <v>100</v>
      </c>
      <c r="L63" s="1621">
        <f>Inputs!I503</f>
        <v>100</v>
      </c>
      <c r="M63" s="1623">
        <f>Inputs!J503</f>
        <v>100</v>
      </c>
      <c r="N63" s="1621">
        <f>Inputs!K503</f>
        <v>100</v>
      </c>
      <c r="O63" s="1621">
        <f>Inputs!L503</f>
        <v>100</v>
      </c>
      <c r="P63" s="1621">
        <f>Inputs!M503</f>
        <v>100</v>
      </c>
      <c r="Q63" s="1630">
        <f>Inputs!N503</f>
        <v>100</v>
      </c>
      <c r="R63" s="1621">
        <f>Inputs!O503</f>
        <v>100</v>
      </c>
      <c r="S63" s="1621">
        <f>Inputs!P503</f>
        <v>100</v>
      </c>
    </row>
    <row r="64" spans="1:19" s="1780" customFormat="1" outlineLevel="1" x14ac:dyDescent="0.3">
      <c r="A64" s="1852" t="s">
        <v>104</v>
      </c>
      <c r="B64" s="1853"/>
      <c r="C64" s="1854"/>
      <c r="D64" s="1855">
        <f t="shared" ca="1" si="9"/>
        <v>1.5</v>
      </c>
      <c r="E64" s="1856"/>
      <c r="F64" s="1853"/>
      <c r="G64" s="1853"/>
      <c r="H64" s="1857"/>
      <c r="I64" s="1858">
        <f>Inputs!F504</f>
        <v>2</v>
      </c>
      <c r="J64" s="1858">
        <f>Inputs!G504</f>
        <v>2</v>
      </c>
      <c r="K64" s="1859">
        <f>Inputs!H504</f>
        <v>2</v>
      </c>
      <c r="L64" s="1858">
        <f>Inputs!I504</f>
        <v>2</v>
      </c>
      <c r="M64" s="1860">
        <f>Inputs!J504</f>
        <v>2</v>
      </c>
      <c r="N64" s="1858">
        <f>Inputs!K504</f>
        <v>1.5</v>
      </c>
      <c r="O64" s="1858">
        <f>Inputs!L504</f>
        <v>1.5</v>
      </c>
      <c r="P64" s="1858">
        <f>Inputs!M504</f>
        <v>1.5</v>
      </c>
      <c r="Q64" s="1858">
        <f>Inputs!N504</f>
        <v>1.5</v>
      </c>
      <c r="R64" s="1858">
        <f>Inputs!O504</f>
        <v>1.5</v>
      </c>
      <c r="S64" s="1858">
        <f>Inputs!P504</f>
        <v>1.5</v>
      </c>
    </row>
    <row r="65" spans="1:19" s="244" customFormat="1" outlineLevel="1" x14ac:dyDescent="0.3">
      <c r="A65" s="462" t="s">
        <v>103</v>
      </c>
      <c r="B65" s="463"/>
      <c r="C65" s="464"/>
      <c r="D65" s="678">
        <f t="shared" ca="1" si="9"/>
        <v>0.81</v>
      </c>
      <c r="E65" s="465"/>
      <c r="H65" s="1670">
        <f>Inputs!E505</f>
        <v>0.81</v>
      </c>
      <c r="I65" s="1670">
        <f>Inputs!F505</f>
        <v>0.81</v>
      </c>
      <c r="J65" s="1670">
        <f>Inputs!G505</f>
        <v>0.81</v>
      </c>
      <c r="K65" s="1671">
        <f>Inputs!H505</f>
        <v>0.9</v>
      </c>
      <c r="L65" s="1672">
        <f>Inputs!I505</f>
        <v>0.85</v>
      </c>
      <c r="M65" s="1673">
        <f>Inputs!J505</f>
        <v>0.85</v>
      </c>
      <c r="N65" s="1674">
        <f>Inputs!K505</f>
        <v>0.9</v>
      </c>
      <c r="O65" s="1674">
        <f>Inputs!L505</f>
        <v>0.9</v>
      </c>
      <c r="P65" s="1674">
        <f>Inputs!M505</f>
        <v>0.9</v>
      </c>
      <c r="Q65" s="1675">
        <f>Inputs!N505</f>
        <v>0.9</v>
      </c>
      <c r="R65" s="1674">
        <f>Inputs!O505</f>
        <v>0.9</v>
      </c>
      <c r="S65" s="1674">
        <f>Inputs!P505</f>
        <v>0.81</v>
      </c>
    </row>
    <row r="66" spans="1:19" s="244" customFormat="1" outlineLevel="1" x14ac:dyDescent="0.3">
      <c r="A66" s="475" t="s">
        <v>765</v>
      </c>
      <c r="B66" s="476"/>
      <c r="C66" s="477"/>
      <c r="D66" s="1966">
        <f t="shared" ca="1" si="9"/>
        <v>2.5</v>
      </c>
      <c r="E66" s="478"/>
      <c r="F66" s="479"/>
      <c r="G66" s="479"/>
      <c r="H66" s="1672">
        <f>Inputs!E506</f>
        <v>2.5</v>
      </c>
      <c r="I66" s="1672">
        <f>Inputs!F506</f>
        <v>2.7</v>
      </c>
      <c r="J66" s="1672">
        <f>Inputs!G506</f>
        <v>2.7</v>
      </c>
      <c r="K66" s="1676">
        <f>Inputs!H506</f>
        <v>2.7</v>
      </c>
      <c r="L66" s="1672">
        <f>Inputs!I506</f>
        <v>2.7</v>
      </c>
      <c r="M66" s="1673">
        <f>Inputs!J506</f>
        <v>2.7</v>
      </c>
      <c r="N66" s="1672">
        <f>Inputs!K506</f>
        <v>2.7</v>
      </c>
      <c r="O66" s="1672">
        <f>Inputs!L506</f>
        <v>2.7</v>
      </c>
      <c r="P66" s="1672">
        <f>Inputs!M506</f>
        <v>2.7</v>
      </c>
      <c r="Q66" s="1677">
        <f>Inputs!N506</f>
        <v>2.7</v>
      </c>
      <c r="R66" s="1672">
        <f>Inputs!O506</f>
        <v>2.7</v>
      </c>
      <c r="S66" s="1672">
        <f>Inputs!P506</f>
        <v>2.5</v>
      </c>
    </row>
    <row r="67" spans="1:19" s="244" customFormat="1" outlineLevel="1" x14ac:dyDescent="0.3">
      <c r="A67" s="475" t="s">
        <v>766</v>
      </c>
      <c r="B67" s="476"/>
      <c r="C67" s="477"/>
      <c r="D67" s="1966">
        <f ca="1">OFFSET(H67,0,scenario_nr)</f>
        <v>0.84</v>
      </c>
      <c r="E67" s="478"/>
      <c r="F67" s="479"/>
      <c r="G67" s="479"/>
      <c r="H67" s="1672">
        <f>Inputs!E507</f>
        <v>0.84</v>
      </c>
      <c r="I67" s="1672">
        <f>Inputs!F507</f>
        <v>0.95</v>
      </c>
      <c r="J67" s="1672">
        <f>Inputs!G507</f>
        <v>0.84</v>
      </c>
      <c r="K67" s="1676">
        <f>Inputs!H507</f>
        <v>0.9</v>
      </c>
      <c r="L67" s="1672">
        <f>Inputs!I507</f>
        <v>0.84</v>
      </c>
      <c r="M67" s="1673">
        <f>Inputs!J507</f>
        <v>0.84</v>
      </c>
      <c r="N67" s="1670">
        <f>Inputs!K507</f>
        <v>0.9</v>
      </c>
      <c r="O67" s="1670">
        <f>Inputs!L507</f>
        <v>0.9</v>
      </c>
      <c r="P67" s="1670">
        <f>Inputs!M507</f>
        <v>0.9</v>
      </c>
      <c r="Q67" s="1675">
        <f>Inputs!N507</f>
        <v>0.95</v>
      </c>
      <c r="R67" s="1674">
        <f>Inputs!O507</f>
        <v>0.95</v>
      </c>
      <c r="S67" s="1674">
        <f>Inputs!P507</f>
        <v>0.84</v>
      </c>
    </row>
    <row r="68" spans="1:19" outlineLevel="1" x14ac:dyDescent="0.3">
      <c r="A68" s="43" t="s">
        <v>7</v>
      </c>
      <c r="B68" s="65"/>
      <c r="D68" s="682">
        <f ca="1">OFFSET(H68,0,scenario_nr)</f>
        <v>2.1</v>
      </c>
      <c r="E68" s="53"/>
      <c r="H68" s="71">
        <f>H66*H67</f>
        <v>2.1</v>
      </c>
      <c r="I68" s="1631">
        <f t="shared" ref="I68:N68" si="10">I66*I67</f>
        <v>2.5649999999999999</v>
      </c>
      <c r="J68" s="1631">
        <f t="shared" si="10"/>
        <v>2.2680000000000002</v>
      </c>
      <c r="K68" s="1632">
        <f>K66*K67</f>
        <v>2.4300000000000002</v>
      </c>
      <c r="L68" s="1631">
        <f t="shared" si="10"/>
        <v>2.2680000000000002</v>
      </c>
      <c r="M68" s="1633">
        <f>M66*M67</f>
        <v>2.2680000000000002</v>
      </c>
      <c r="N68" s="1638">
        <f t="shared" si="10"/>
        <v>2.4300000000000002</v>
      </c>
      <c r="O68" s="1638">
        <f>O66*O67</f>
        <v>2.4300000000000002</v>
      </c>
      <c r="P68" s="1638">
        <f>P66*P67</f>
        <v>2.4300000000000002</v>
      </c>
      <c r="Q68" s="1639">
        <f>Q66*Q67</f>
        <v>2.5649999999999999</v>
      </c>
      <c r="R68" s="1638">
        <f>R66*R67</f>
        <v>2.5649999999999999</v>
      </c>
      <c r="S68" s="1638">
        <f>S66*S67</f>
        <v>2.1</v>
      </c>
    </row>
    <row r="69" spans="1:19" outlineLevel="1" x14ac:dyDescent="0.3">
      <c r="A69" s="43" t="s">
        <v>131</v>
      </c>
      <c r="B69" s="63"/>
      <c r="D69" s="679">
        <f t="shared" ca="1" si="9"/>
        <v>0.65</v>
      </c>
      <c r="E69" s="53"/>
      <c r="H69" s="1631">
        <f>Inputs!E509</f>
        <v>0.65</v>
      </c>
      <c r="I69" s="1640">
        <f>Inputs!F509</f>
        <v>4.9090000000000002E-2</v>
      </c>
      <c r="J69" s="1640">
        <f>Inputs!G509</f>
        <v>4.9090000000000002E-2</v>
      </c>
      <c r="K69" s="1641">
        <f>Inputs!H509</f>
        <v>4.9090000000000002E-2</v>
      </c>
      <c r="L69" s="1640">
        <f>Inputs!I509</f>
        <v>4.9090000000000002E-2</v>
      </c>
      <c r="M69" s="1642">
        <f>Inputs!J509</f>
        <v>4.9090000000000002E-2</v>
      </c>
      <c r="N69" s="1640">
        <f>Inputs!K509</f>
        <v>4.9090000000000002E-2</v>
      </c>
      <c r="O69" s="1640">
        <f>Inputs!L509</f>
        <v>4.9090000000000002E-2</v>
      </c>
      <c r="P69" s="1640">
        <f>Inputs!M509</f>
        <v>4.9090000000000002E-2</v>
      </c>
      <c r="Q69" s="1643">
        <f>Inputs!N509</f>
        <v>4.9090000000000002E-2</v>
      </c>
      <c r="R69" s="1640">
        <f>Inputs!O509</f>
        <v>4.9090000000000002E-2</v>
      </c>
      <c r="S69" s="1640">
        <f>Inputs!P509</f>
        <v>0.65</v>
      </c>
    </row>
    <row r="70" spans="1:19" outlineLevel="1" x14ac:dyDescent="0.3">
      <c r="A70" s="43" t="s">
        <v>132</v>
      </c>
      <c r="B70" s="63"/>
      <c r="D70" s="679">
        <f t="shared" ca="1" si="9"/>
        <v>0.6</v>
      </c>
      <c r="E70" s="53"/>
      <c r="H70" s="1631">
        <f>Inputs!E510</f>
        <v>0.6</v>
      </c>
      <c r="I70" s="1640">
        <f>Inputs!F510</f>
        <v>0.92095000000000005</v>
      </c>
      <c r="J70" s="1640">
        <f>Inputs!G510</f>
        <v>0.92095000000000005</v>
      </c>
      <c r="K70" s="1641">
        <f>Inputs!H510</f>
        <v>0.92095000000000005</v>
      </c>
      <c r="L70" s="1640">
        <f>Inputs!I510</f>
        <v>0.92095000000000005</v>
      </c>
      <c r="M70" s="1642">
        <f>Inputs!J510</f>
        <v>0.92095000000000005</v>
      </c>
      <c r="N70" s="1640">
        <f>Inputs!K510</f>
        <v>0.92095000000000005</v>
      </c>
      <c r="O70" s="1640">
        <f>Inputs!L510</f>
        <v>0.92095000000000005</v>
      </c>
      <c r="P70" s="1640">
        <f>Inputs!M510</f>
        <v>0.92095000000000005</v>
      </c>
      <c r="Q70" s="1643">
        <f>Inputs!N510</f>
        <v>0.92095000000000005</v>
      </c>
      <c r="R70" s="1640">
        <f>Inputs!O510</f>
        <v>0.92095000000000005</v>
      </c>
      <c r="S70" s="1640">
        <f>Inputs!P510</f>
        <v>0.6</v>
      </c>
    </row>
    <row r="71" spans="1:19" outlineLevel="1" x14ac:dyDescent="0.3">
      <c r="A71" s="43" t="s">
        <v>9</v>
      </c>
      <c r="B71" s="63"/>
      <c r="D71" s="679">
        <f t="shared" ca="1" si="9"/>
        <v>0.06</v>
      </c>
      <c r="E71" s="53"/>
      <c r="H71" s="1631">
        <f>Inputs!E511</f>
        <v>5.6000000000000001E-2</v>
      </c>
      <c r="I71" s="1640">
        <f>Inputs!F511</f>
        <v>6.4570000000000001E-3</v>
      </c>
      <c r="J71" s="1640">
        <f>Inputs!G511</f>
        <v>6.4570000000000001E-3</v>
      </c>
      <c r="K71" s="1641">
        <f>Inputs!H511</f>
        <v>6.4570000000000001E-3</v>
      </c>
      <c r="L71" s="1640">
        <f>Inputs!I511</f>
        <v>6.4570000000000001E-3</v>
      </c>
      <c r="M71" s="1642">
        <f>Inputs!J511</f>
        <v>6.4570000000000001E-3</v>
      </c>
      <c r="N71" s="1640">
        <f>Inputs!K511</f>
        <v>6.4570000000000001E-3</v>
      </c>
      <c r="O71" s="1640">
        <f>Inputs!L511</f>
        <v>6.4570000000000001E-3</v>
      </c>
      <c r="P71" s="1640">
        <f>Inputs!M511</f>
        <v>6.4570000000000001E-3</v>
      </c>
      <c r="Q71" s="1643">
        <f>Inputs!N511</f>
        <v>6.4570000000000001E-3</v>
      </c>
      <c r="R71" s="1640">
        <f>Inputs!O511</f>
        <v>6.4570000000000001E-3</v>
      </c>
      <c r="S71" s="1640">
        <f>Inputs!P511</f>
        <v>0.06</v>
      </c>
    </row>
    <row r="72" spans="1:19" outlineLevel="1" x14ac:dyDescent="0.3">
      <c r="A72" s="43" t="s">
        <v>10</v>
      </c>
      <c r="B72" s="63"/>
      <c r="D72" s="680">
        <f t="shared" ca="1" si="9"/>
        <v>1.2</v>
      </c>
      <c r="E72" s="53"/>
      <c r="I72" s="1644">
        <f>Inputs!F512</f>
        <v>1.2</v>
      </c>
      <c r="J72" s="1644">
        <f>Inputs!G512</f>
        <v>1.2</v>
      </c>
      <c r="K72" s="1645">
        <f>Inputs!H512</f>
        <v>1.2</v>
      </c>
      <c r="L72" s="1644">
        <f>Inputs!I512</f>
        <v>1.2</v>
      </c>
      <c r="M72" s="1646">
        <f>Inputs!J512</f>
        <v>1.2</v>
      </c>
      <c r="N72" s="1644">
        <f>Inputs!K512</f>
        <v>1.2</v>
      </c>
      <c r="O72" s="1644">
        <f>Inputs!L512</f>
        <v>1.2</v>
      </c>
      <c r="P72" s="1644">
        <f>Inputs!M512</f>
        <v>1.2</v>
      </c>
      <c r="Q72" s="1647">
        <f>Inputs!N512</f>
        <v>1.2</v>
      </c>
      <c r="R72" s="1644">
        <f>Inputs!O512</f>
        <v>1.2</v>
      </c>
      <c r="S72" s="1644">
        <f>Inputs!P512</f>
        <v>1.2</v>
      </c>
    </row>
    <row r="73" spans="1:19" outlineLevel="1" x14ac:dyDescent="0.3">
      <c r="A73" s="43" t="s">
        <v>105</v>
      </c>
      <c r="B73" s="63"/>
      <c r="C73" s="30" t="s">
        <v>106</v>
      </c>
      <c r="D73" s="681">
        <f t="shared" ca="1" si="9"/>
        <v>700000000</v>
      </c>
      <c r="E73" s="53"/>
      <c r="I73" s="1648">
        <f>Inputs!F513</f>
        <v>700000000</v>
      </c>
      <c r="J73" s="1648">
        <f>Inputs!G513</f>
        <v>700000000</v>
      </c>
      <c r="K73" s="1649">
        <f>Inputs!H513</f>
        <v>700000000</v>
      </c>
      <c r="L73" s="1648">
        <f>Inputs!I513</f>
        <v>700000000</v>
      </c>
      <c r="M73" s="1650">
        <f>Inputs!J513</f>
        <v>700000000</v>
      </c>
      <c r="N73" s="1648">
        <f>Inputs!K513</f>
        <v>700000000</v>
      </c>
      <c r="O73" s="1648">
        <f>Inputs!L513</f>
        <v>700000000</v>
      </c>
      <c r="P73" s="1648">
        <f>Inputs!M513</f>
        <v>700000000</v>
      </c>
      <c r="Q73" s="1651">
        <f>Inputs!N513</f>
        <v>700000000</v>
      </c>
      <c r="R73" s="1648">
        <f>Inputs!O513</f>
        <v>700000000</v>
      </c>
      <c r="S73" s="1648">
        <f>Inputs!P513</f>
        <v>700000000</v>
      </c>
    </row>
    <row r="74" spans="1:19" outlineLevel="1" x14ac:dyDescent="0.3">
      <c r="A74" s="43" t="s">
        <v>1659</v>
      </c>
      <c r="C74" s="30" t="s">
        <v>47</v>
      </c>
      <c r="D74" s="355" cm="1">
        <f t="array" aca="1" ref="D74" ca="1">IF(theta_override=0,OFFSET(H74,0,scenario_nr),theta_override)</f>
        <v>22</v>
      </c>
      <c r="E74" s="53" t="s">
        <v>420</v>
      </c>
      <c r="I74" s="1652">
        <f>Inputs!F514</f>
        <v>28</v>
      </c>
      <c r="J74" s="1652">
        <f>Inputs!G514</f>
        <v>28</v>
      </c>
      <c r="K74" s="1652">
        <f>Inputs!H514</f>
        <v>22</v>
      </c>
      <c r="L74" s="1653">
        <f>Inputs!I514</f>
        <v>22</v>
      </c>
      <c r="M74" s="1652">
        <f>Inputs!J514</f>
        <v>22</v>
      </c>
      <c r="N74" s="1652">
        <f>Inputs!K514</f>
        <v>22</v>
      </c>
      <c r="O74" s="1652">
        <f>Inputs!L514</f>
        <v>22</v>
      </c>
      <c r="P74" s="1652">
        <f>Inputs!M514</f>
        <v>22</v>
      </c>
      <c r="Q74" s="1652">
        <f>Inputs!N514</f>
        <v>22</v>
      </c>
      <c r="R74" s="1654">
        <f>Inputs!O514</f>
        <v>22</v>
      </c>
      <c r="S74" s="1654">
        <f>Inputs!P514</f>
        <v>22</v>
      </c>
    </row>
    <row r="75" spans="1:19" outlineLevel="1" x14ac:dyDescent="0.3">
      <c r="A75" s="43" t="s">
        <v>1660</v>
      </c>
      <c r="B75" s="59"/>
      <c r="C75" s="344" t="s">
        <v>54</v>
      </c>
      <c r="D75" s="678">
        <f ca="1">OFFSET(H75,0,scenario_nr)</f>
        <v>0.38397243543875248</v>
      </c>
      <c r="E75" s="53"/>
      <c r="H75" s="70"/>
      <c r="I75" s="71">
        <f t="shared" ref="I75:S75" ca="1" si="11">Theta*PI()/180</f>
        <v>0.38397243543875248</v>
      </c>
      <c r="J75" s="71">
        <f t="shared" ca="1" si="11"/>
        <v>0.38397243543875248</v>
      </c>
      <c r="K75" s="573">
        <f t="shared" ca="1" si="11"/>
        <v>0.38397243543875248</v>
      </c>
      <c r="L75" s="71">
        <f t="shared" ca="1" si="11"/>
        <v>0.38397243543875248</v>
      </c>
      <c r="M75" s="509">
        <f t="shared" ca="1" si="11"/>
        <v>0.38397243543875248</v>
      </c>
      <c r="N75" s="71">
        <f t="shared" ca="1" si="11"/>
        <v>0.38397243543875248</v>
      </c>
      <c r="O75" s="71">
        <f t="shared" ca="1" si="11"/>
        <v>0.38397243543875248</v>
      </c>
      <c r="P75" s="71">
        <f t="shared" ca="1" si="11"/>
        <v>0.38397243543875248</v>
      </c>
      <c r="Q75" s="508">
        <f t="shared" ca="1" si="11"/>
        <v>0.38397243543875248</v>
      </c>
      <c r="R75" s="71">
        <f t="shared" ca="1" si="11"/>
        <v>0.38397243543875248</v>
      </c>
      <c r="S75" s="71">
        <f t="shared" ca="1" si="11"/>
        <v>0.38397243543875248</v>
      </c>
    </row>
    <row r="76" spans="1:19" outlineLevel="1" x14ac:dyDescent="0.3">
      <c r="A76" s="342" t="s">
        <v>1664</v>
      </c>
      <c r="C76" s="1841" t="s">
        <v>175</v>
      </c>
      <c r="D76" s="1838">
        <f ca="1">Performance!C21</f>
        <v>833.48857504911859</v>
      </c>
      <c r="E76" s="53"/>
      <c r="H76" s="70"/>
      <c r="I76" s="70"/>
      <c r="J76" s="70"/>
      <c r="K76" s="70"/>
      <c r="L76" s="70"/>
      <c r="M76" s="70"/>
      <c r="N76" s="70"/>
      <c r="O76" s="70"/>
      <c r="P76" s="70"/>
      <c r="Q76" s="70"/>
      <c r="R76" s="70"/>
      <c r="S76" s="70"/>
    </row>
    <row r="77" spans="1:19" outlineLevel="1" x14ac:dyDescent="0.3">
      <c r="A77" s="342" t="s">
        <v>441</v>
      </c>
      <c r="C77" s="1841" t="s">
        <v>175</v>
      </c>
      <c r="D77" s="1838">
        <f ca="1">Performance!C22</f>
        <v>147.50137999243827</v>
      </c>
      <c r="E77"/>
      <c r="H77" s="70"/>
      <c r="I77" s="70"/>
      <c r="J77" s="70"/>
      <c r="K77" s="70"/>
      <c r="L77" s="70"/>
      <c r="M77" s="70"/>
      <c r="N77" s="70"/>
      <c r="O77" s="70"/>
      <c r="P77" s="70"/>
      <c r="Q77" s="70"/>
      <c r="R77" s="70"/>
      <c r="S77" s="70"/>
    </row>
    <row r="78" spans="1:19" outlineLevel="1" x14ac:dyDescent="0.3">
      <c r="A78" s="342" t="s">
        <v>441</v>
      </c>
      <c r="C78" s="145" t="s">
        <v>415</v>
      </c>
      <c r="D78" s="1840">
        <f ca="1">D77/D76</f>
        <v>0.17696868848351738</v>
      </c>
      <c r="E78" s="1839"/>
      <c r="H78" s="70"/>
      <c r="I78" s="70"/>
      <c r="J78" s="70"/>
      <c r="K78" s="70"/>
      <c r="L78" s="70"/>
      <c r="M78" s="70"/>
      <c r="N78" s="70"/>
      <c r="O78" s="70"/>
      <c r="P78" s="70"/>
      <c r="Q78" s="70"/>
      <c r="R78" s="70"/>
      <c r="S78" s="70"/>
    </row>
    <row r="79" spans="1:19" outlineLevel="1" x14ac:dyDescent="0.3">
      <c r="A79" s="342" t="s">
        <v>1663</v>
      </c>
      <c r="C79" s="1841" t="s">
        <v>173</v>
      </c>
      <c r="D79" s="1838">
        <f ca="1">D76-D77</f>
        <v>685.98719505668032</v>
      </c>
      <c r="E79"/>
      <c r="H79" s="70"/>
      <c r="I79" s="70"/>
      <c r="J79" s="70"/>
      <c r="K79" s="70"/>
      <c r="L79" s="70"/>
      <c r="M79" s="70"/>
      <c r="N79" s="70"/>
      <c r="O79" s="70"/>
      <c r="P79" s="70"/>
      <c r="Q79" s="70"/>
      <c r="R79" s="70"/>
      <c r="S79" s="70"/>
    </row>
    <row r="80" spans="1:19" outlineLevel="1" x14ac:dyDescent="0.3">
      <c r="A80" s="342" t="s">
        <v>1665</v>
      </c>
      <c r="C80" s="1841" t="s">
        <v>175</v>
      </c>
      <c r="D80" s="1838">
        <f ca="1">D76-D77/2</f>
        <v>759.7378850528994</v>
      </c>
      <c r="E80"/>
      <c r="H80" s="70"/>
      <c r="I80" s="70"/>
      <c r="J80" s="70"/>
      <c r="K80" s="70"/>
      <c r="L80" s="70"/>
      <c r="M80" s="70"/>
      <c r="N80" s="70"/>
      <c r="O80" s="70"/>
      <c r="P80" s="70"/>
      <c r="Q80" s="70"/>
      <c r="R80" s="70"/>
      <c r="S80" s="70"/>
    </row>
    <row r="81" spans="1:19" outlineLevel="1" x14ac:dyDescent="0.3">
      <c r="A81" s="43" t="s">
        <v>1662</v>
      </c>
      <c r="B81" s="59"/>
      <c r="C81" s="344" t="s">
        <v>175</v>
      </c>
      <c r="D81" s="1880">
        <f ca="1">TAN(D75)*D80</f>
        <v>306.95403032190711</v>
      </c>
      <c r="E81" s="53"/>
      <c r="H81" s="70"/>
      <c r="I81" s="70"/>
      <c r="J81" s="70"/>
      <c r="K81" s="70"/>
      <c r="L81" s="70"/>
      <c r="M81" s="70"/>
      <c r="N81" s="70"/>
      <c r="O81" s="70"/>
      <c r="P81" s="70"/>
      <c r="Q81" s="70"/>
      <c r="R81" s="70"/>
      <c r="S81" s="70"/>
    </row>
    <row r="82" spans="1:19" outlineLevel="1" x14ac:dyDescent="0.3">
      <c r="A82" s="468" t="s">
        <v>763</v>
      </c>
      <c r="B82" s="469"/>
      <c r="C82" s="470" t="s">
        <v>175</v>
      </c>
      <c r="D82" s="471">
        <f t="shared" ref="D82:D100" ca="1" si="12">OFFSET(H82,0,scenario_nr)</f>
        <v>80</v>
      </c>
      <c r="E82" s="470"/>
      <c r="F82" s="472" t="s">
        <v>764</v>
      </c>
      <c r="G82" s="473"/>
      <c r="H82" s="474"/>
      <c r="I82" s="1621">
        <f>Inputs!F516</f>
        <v>80</v>
      </c>
      <c r="J82" s="1621">
        <f>Inputs!G516</f>
        <v>80</v>
      </c>
      <c r="K82" s="1621">
        <f>Inputs!H516</f>
        <v>80</v>
      </c>
      <c r="L82" s="1621">
        <f>Inputs!I516</f>
        <v>80</v>
      </c>
      <c r="M82" s="1621">
        <f>Inputs!J516</f>
        <v>80</v>
      </c>
      <c r="N82" s="1621">
        <f>Inputs!K516</f>
        <v>80</v>
      </c>
      <c r="O82" s="1621">
        <f>Inputs!L516</f>
        <v>80</v>
      </c>
      <c r="P82" s="1621">
        <f>Inputs!M516</f>
        <v>80</v>
      </c>
      <c r="Q82" s="1621">
        <f>Inputs!N516</f>
        <v>80</v>
      </c>
      <c r="R82" s="1621">
        <f>Inputs!O516</f>
        <v>80</v>
      </c>
      <c r="S82" s="1621">
        <f>Inputs!P516</f>
        <v>80</v>
      </c>
    </row>
    <row r="83" spans="1:19" outlineLevel="1" x14ac:dyDescent="0.3">
      <c r="A83" s="43" t="s">
        <v>37</v>
      </c>
      <c r="B83" s="59"/>
      <c r="C83" s="30" t="s">
        <v>47</v>
      </c>
      <c r="D83" s="676">
        <f t="shared" ca="1" si="12"/>
        <v>12</v>
      </c>
      <c r="E83" s="53"/>
      <c r="I83" s="1621">
        <f>Inputs!F517</f>
        <v>20</v>
      </c>
      <c r="J83" s="1621">
        <f>Inputs!G517</f>
        <v>20</v>
      </c>
      <c r="K83" s="1636">
        <f>Inputs!H517</f>
        <v>12</v>
      </c>
      <c r="L83" s="1637">
        <f>Inputs!I517</f>
        <v>12</v>
      </c>
      <c r="M83" s="1637">
        <f>Inputs!J517</f>
        <v>12</v>
      </c>
      <c r="N83" s="1637">
        <f>Inputs!K517</f>
        <v>12</v>
      </c>
      <c r="O83" s="1637">
        <f>Inputs!L517</f>
        <v>12</v>
      </c>
      <c r="P83" s="1637">
        <f>Inputs!M517</f>
        <v>12</v>
      </c>
      <c r="Q83" s="1637">
        <f>Inputs!N517</f>
        <v>12</v>
      </c>
      <c r="R83" s="1637">
        <f>Inputs!O517</f>
        <v>12</v>
      </c>
      <c r="S83" s="1637">
        <f>Inputs!P517</f>
        <v>12</v>
      </c>
    </row>
    <row r="84" spans="1:19" outlineLevel="1" x14ac:dyDescent="0.3">
      <c r="A84" s="43" t="s">
        <v>432</v>
      </c>
      <c r="B84" s="59"/>
      <c r="C84" s="30" t="s">
        <v>54</v>
      </c>
      <c r="D84" s="682">
        <f t="shared" ca="1" si="12"/>
        <v>0.20943951023931953</v>
      </c>
      <c r="E84" s="53"/>
      <c r="H84" s="73"/>
      <c r="I84" s="71">
        <f t="shared" ref="I84:S84" ca="1" si="13">Dphi*PI()/180</f>
        <v>0.20943951023931953</v>
      </c>
      <c r="J84" s="71">
        <f t="shared" ca="1" si="13"/>
        <v>0.20943951023931953</v>
      </c>
      <c r="K84" s="573">
        <f t="shared" ca="1" si="13"/>
        <v>0.20943951023931953</v>
      </c>
      <c r="L84" s="71">
        <f t="shared" ca="1" si="13"/>
        <v>0.20943951023931953</v>
      </c>
      <c r="M84" s="509">
        <f t="shared" ca="1" si="13"/>
        <v>0.20943951023931953</v>
      </c>
      <c r="N84" s="71">
        <f t="shared" ca="1" si="13"/>
        <v>0.20943951023931953</v>
      </c>
      <c r="O84" s="71">
        <f t="shared" ca="1" si="13"/>
        <v>0.20943951023931953</v>
      </c>
      <c r="P84" s="71">
        <f t="shared" ca="1" si="13"/>
        <v>0.20943951023931953</v>
      </c>
      <c r="Q84" s="508">
        <f t="shared" ca="1" si="13"/>
        <v>0.20943951023931953</v>
      </c>
      <c r="R84" s="71">
        <f t="shared" ca="1" si="13"/>
        <v>0.20943951023931953</v>
      </c>
      <c r="S84" s="71">
        <f t="shared" ca="1" si="13"/>
        <v>0.20943951023931953</v>
      </c>
    </row>
    <row r="85" spans="1:19" s="76" customFormat="1" outlineLevel="1" x14ac:dyDescent="0.3">
      <c r="A85" s="43" t="s">
        <v>12</v>
      </c>
      <c r="B85" s="74"/>
      <c r="C85" s="345" t="s">
        <v>415</v>
      </c>
      <c r="D85" s="675">
        <f t="shared" ca="1" si="12"/>
        <v>0.95</v>
      </c>
      <c r="E85" s="75"/>
      <c r="H85" s="77"/>
      <c r="I85" s="1625">
        <f>Inputs!F518</f>
        <v>0.95</v>
      </c>
      <c r="J85" s="1625">
        <f>Inputs!G518</f>
        <v>0.95</v>
      </c>
      <c r="K85" s="1626">
        <f>Inputs!H518</f>
        <v>0.95</v>
      </c>
      <c r="L85" s="1627">
        <f>Inputs!I518</f>
        <v>0.95</v>
      </c>
      <c r="M85" s="1626">
        <f>Inputs!J518</f>
        <v>0.95</v>
      </c>
      <c r="N85" s="1626">
        <f>Inputs!K518</f>
        <v>0.95</v>
      </c>
      <c r="O85" s="1626">
        <f>Inputs!L518</f>
        <v>0.95</v>
      </c>
      <c r="P85" s="1626">
        <f>Inputs!M518</f>
        <v>0.95</v>
      </c>
      <c r="Q85" s="1626">
        <f>Inputs!N518</f>
        <v>0.95</v>
      </c>
      <c r="R85" s="1635">
        <f>Inputs!O518</f>
        <v>0.95</v>
      </c>
      <c r="S85" s="1635">
        <f>Inputs!P518</f>
        <v>0.95</v>
      </c>
    </row>
    <row r="86" spans="1:19" outlineLevel="1" x14ac:dyDescent="0.3">
      <c r="A86" s="43" t="s">
        <v>156</v>
      </c>
      <c r="B86" s="59"/>
      <c r="C86" s="30" t="s">
        <v>48</v>
      </c>
      <c r="D86" s="676" t="str">
        <f t="shared" ca="1" si="12"/>
        <v>N</v>
      </c>
      <c r="E86" s="53"/>
      <c r="H86" s="70"/>
      <c r="I86" s="1621" t="str">
        <f>Inputs!F519</f>
        <v>N</v>
      </c>
      <c r="J86" s="1621" t="str">
        <f>Inputs!G519</f>
        <v>N</v>
      </c>
      <c r="K86" s="1622" t="str">
        <f>Inputs!H519</f>
        <v>N</v>
      </c>
      <c r="L86" s="1621" t="str">
        <f>Inputs!I519</f>
        <v>N</v>
      </c>
      <c r="M86" s="1623" t="str">
        <f>Inputs!J519</f>
        <v>N</v>
      </c>
      <c r="N86" s="1621" t="str">
        <f>Inputs!K519</f>
        <v>N</v>
      </c>
      <c r="O86" s="1621" t="str">
        <f>Inputs!L519</f>
        <v>N</v>
      </c>
      <c r="P86" s="1621" t="str">
        <f>Inputs!M519</f>
        <v>N</v>
      </c>
      <c r="Q86" s="1630" t="str">
        <f>Inputs!N519</f>
        <v>N</v>
      </c>
      <c r="R86" s="1621" t="str">
        <f>Inputs!O519</f>
        <v>N</v>
      </c>
      <c r="S86" s="1621" t="str">
        <f>Inputs!P519</f>
        <v>N</v>
      </c>
    </row>
    <row r="87" spans="1:19" outlineLevel="1" x14ac:dyDescent="0.3">
      <c r="A87" s="43" t="s">
        <v>155</v>
      </c>
      <c r="B87" s="59"/>
      <c r="C87" s="344"/>
      <c r="D87" s="682">
        <f t="shared" ca="1" si="12"/>
        <v>4</v>
      </c>
      <c r="E87" s="53"/>
      <c r="H87" s="70"/>
      <c r="I87" s="1631">
        <f>Inputs!F520</f>
        <v>2.1800000000000002</v>
      </c>
      <c r="J87" s="1631">
        <f>Inputs!G520</f>
        <v>4</v>
      </c>
      <c r="K87" s="1632">
        <f>Inputs!H520</f>
        <v>4</v>
      </c>
      <c r="L87" s="1631">
        <f>Inputs!I520</f>
        <v>4</v>
      </c>
      <c r="M87" s="1633">
        <f>Inputs!J520</f>
        <v>4</v>
      </c>
      <c r="N87" s="1631">
        <f>Inputs!K520</f>
        <v>4</v>
      </c>
      <c r="O87" s="1631">
        <f>Inputs!L520</f>
        <v>4</v>
      </c>
      <c r="P87" s="1631">
        <f>Inputs!M520</f>
        <v>4</v>
      </c>
      <c r="Q87" s="1634">
        <f>Inputs!N520</f>
        <v>4</v>
      </c>
      <c r="R87" s="1631">
        <f>Inputs!O520</f>
        <v>4</v>
      </c>
      <c r="S87" s="1631">
        <f>Inputs!P520</f>
        <v>4</v>
      </c>
    </row>
    <row r="88" spans="1:19" outlineLevel="1" x14ac:dyDescent="0.3">
      <c r="A88" s="43" t="s">
        <v>30</v>
      </c>
      <c r="B88" s="59"/>
      <c r="C88" s="30" t="s">
        <v>48</v>
      </c>
      <c r="D88" s="676">
        <f t="shared" ca="1" si="12"/>
        <v>30</v>
      </c>
      <c r="E88" s="53"/>
      <c r="H88" s="78"/>
      <c r="I88" s="1621">
        <f>Inputs!F521</f>
        <v>30</v>
      </c>
      <c r="J88" s="1621">
        <f>Inputs!G521</f>
        <v>30</v>
      </c>
      <c r="K88" s="1622">
        <f>Inputs!H521</f>
        <v>30</v>
      </c>
      <c r="L88" s="1621">
        <f>Inputs!I521</f>
        <v>30</v>
      </c>
      <c r="M88" s="1623">
        <f>Inputs!J521</f>
        <v>30</v>
      </c>
      <c r="N88" s="1621">
        <f>Inputs!K521</f>
        <v>30</v>
      </c>
      <c r="O88" s="1621">
        <f>Inputs!L521</f>
        <v>30</v>
      </c>
      <c r="P88" s="1621">
        <f>Inputs!M521</f>
        <v>30</v>
      </c>
      <c r="Q88" s="1630">
        <f>Inputs!N521</f>
        <v>30</v>
      </c>
      <c r="R88" s="1621">
        <f>Inputs!O521</f>
        <v>30</v>
      </c>
      <c r="S88" s="1621">
        <f>Inputs!P521</f>
        <v>30</v>
      </c>
    </row>
    <row r="89" spans="1:19" outlineLevel="1" x14ac:dyDescent="0.3">
      <c r="A89" s="43" t="s">
        <v>1527</v>
      </c>
      <c r="B89" s="59"/>
      <c r="D89" s="676">
        <f t="shared" ca="1" si="12"/>
        <v>12</v>
      </c>
      <c r="E89" s="53" t="s">
        <v>26</v>
      </c>
      <c r="H89" s="78"/>
      <c r="I89" s="1621">
        <f>Inputs!F522</f>
        <v>20</v>
      </c>
      <c r="J89" s="1621">
        <f>Inputs!G522</f>
        <v>12</v>
      </c>
      <c r="K89" s="1622">
        <f>Inputs!H522</f>
        <v>28</v>
      </c>
      <c r="L89" s="1621">
        <f>Inputs!I522</f>
        <v>20</v>
      </c>
      <c r="M89" s="1623">
        <f>Inputs!J522</f>
        <v>20</v>
      </c>
      <c r="N89" s="1621">
        <f>Inputs!K522</f>
        <v>44</v>
      </c>
      <c r="O89" s="1621">
        <f>Inputs!L522</f>
        <v>44</v>
      </c>
      <c r="P89" s="1621">
        <f>Inputs!M522</f>
        <v>54</v>
      </c>
      <c r="Q89" s="1630">
        <f>Inputs!N522</f>
        <v>44</v>
      </c>
      <c r="R89" s="1621">
        <f>Inputs!O522</f>
        <v>54</v>
      </c>
      <c r="S89" s="1621">
        <f>Inputs!P522</f>
        <v>12</v>
      </c>
    </row>
    <row r="90" spans="1:19" outlineLevel="1" x14ac:dyDescent="0.3">
      <c r="A90" s="43" t="s">
        <v>1068</v>
      </c>
      <c r="B90" s="59"/>
      <c r="C90" s="30" t="s">
        <v>175</v>
      </c>
      <c r="D90" s="1521">
        <f t="shared" ca="1" si="12"/>
        <v>0</v>
      </c>
      <c r="E90" s="45" t="s">
        <v>903</v>
      </c>
      <c r="F90" s="33"/>
      <c r="G90" s="33"/>
      <c r="H90" s="1620"/>
      <c r="I90" s="1621">
        <f>Inputs!F523</f>
        <v>0</v>
      </c>
      <c r="J90" s="1621">
        <f>Inputs!G523</f>
        <v>0</v>
      </c>
      <c r="K90" s="1622">
        <f>Inputs!H523</f>
        <v>0</v>
      </c>
      <c r="L90" s="1621">
        <f>Inputs!I523</f>
        <v>0</v>
      </c>
      <c r="M90" s="1623">
        <f>Inputs!J523</f>
        <v>0</v>
      </c>
      <c r="N90" s="1621">
        <f>Inputs!K523</f>
        <v>11</v>
      </c>
      <c r="O90" s="1621">
        <f>Inputs!L523</f>
        <v>11</v>
      </c>
      <c r="P90" s="1621">
        <f>Inputs!M523</f>
        <v>13</v>
      </c>
      <c r="Q90" s="1630">
        <f>Inputs!N523</f>
        <v>11</v>
      </c>
      <c r="R90" s="1621">
        <f>Inputs!O523</f>
        <v>13</v>
      </c>
      <c r="S90" s="1621">
        <f>Inputs!P523</f>
        <v>0</v>
      </c>
    </row>
    <row r="91" spans="1:19" outlineLevel="1" x14ac:dyDescent="0.3">
      <c r="A91" s="43" t="s">
        <v>97</v>
      </c>
      <c r="B91" s="59"/>
      <c r="D91" s="1718">
        <f t="shared" ca="1" si="12"/>
        <v>12</v>
      </c>
      <c r="E91" s="53"/>
      <c r="F91" s="54" t="s">
        <v>1528</v>
      </c>
      <c r="H91" s="70"/>
      <c r="I91" s="1720">
        <v>15</v>
      </c>
      <c r="J91" s="1720">
        <v>15</v>
      </c>
      <c r="K91" s="1720">
        <v>15</v>
      </c>
      <c r="L91" s="1720">
        <v>15</v>
      </c>
      <c r="M91" s="1720">
        <v>15</v>
      </c>
      <c r="N91" s="1720">
        <v>15</v>
      </c>
      <c r="O91" s="1720">
        <v>15</v>
      </c>
      <c r="P91" s="1720">
        <v>15</v>
      </c>
      <c r="Q91" s="1720">
        <v>15</v>
      </c>
      <c r="R91" s="1720">
        <v>15</v>
      </c>
      <c r="S91" s="1720">
        <v>12</v>
      </c>
    </row>
    <row r="92" spans="1:19" outlineLevel="1" x14ac:dyDescent="0.3">
      <c r="A92" s="43" t="s">
        <v>101</v>
      </c>
      <c r="B92" s="59"/>
      <c r="C92" s="30" t="s">
        <v>47</v>
      </c>
      <c r="D92" s="676">
        <f t="shared" ca="1" si="12"/>
        <v>20</v>
      </c>
      <c r="E92" s="53"/>
      <c r="I92" s="1621">
        <f>Inputs!F524</f>
        <v>20</v>
      </c>
      <c r="J92" s="1621">
        <f>Inputs!G524</f>
        <v>20</v>
      </c>
      <c r="K92" s="1622">
        <f>Inputs!H524</f>
        <v>20</v>
      </c>
      <c r="L92" s="1621">
        <f>Inputs!I524</f>
        <v>20</v>
      </c>
      <c r="M92" s="1623">
        <f>Inputs!J524</f>
        <v>20</v>
      </c>
      <c r="N92" s="1621">
        <f>Inputs!K524</f>
        <v>20</v>
      </c>
      <c r="O92" s="1621">
        <f>Inputs!L524</f>
        <v>20</v>
      </c>
      <c r="P92" s="1621">
        <f>Inputs!M524</f>
        <v>20</v>
      </c>
      <c r="Q92" s="1630">
        <f>Inputs!N524</f>
        <v>20</v>
      </c>
      <c r="R92" s="1621">
        <f>Inputs!O524</f>
        <v>20</v>
      </c>
      <c r="S92" s="1621">
        <f>Inputs!P524</f>
        <v>20</v>
      </c>
    </row>
    <row r="93" spans="1:19" outlineLevel="1" x14ac:dyDescent="0.3">
      <c r="A93" s="43" t="s">
        <v>431</v>
      </c>
      <c r="B93" s="59"/>
      <c r="C93" s="344" t="s">
        <v>54</v>
      </c>
      <c r="D93" s="682">
        <f t="shared" ca="1" si="12"/>
        <v>0.3490658503988659</v>
      </c>
      <c r="E93" s="53"/>
      <c r="H93" s="70"/>
      <c r="I93" s="71">
        <f t="shared" ref="I93:N93" si="14">I92*PI()/180</f>
        <v>0.3490658503988659</v>
      </c>
      <c r="J93" s="71">
        <f t="shared" si="14"/>
        <v>0.3490658503988659</v>
      </c>
      <c r="K93" s="573">
        <f>K92*PI()/180</f>
        <v>0.3490658503988659</v>
      </c>
      <c r="L93" s="71">
        <f t="shared" si="14"/>
        <v>0.3490658503988659</v>
      </c>
      <c r="M93" s="509">
        <f>M92*PI()/180</f>
        <v>0.3490658503988659</v>
      </c>
      <c r="N93" s="71">
        <f t="shared" si="14"/>
        <v>0.3490658503988659</v>
      </c>
      <c r="O93" s="71">
        <f>O92*PI()/180</f>
        <v>0.3490658503988659</v>
      </c>
      <c r="P93" s="71">
        <f>P92*PI()/180</f>
        <v>0.3490658503988659</v>
      </c>
      <c r="Q93" s="508">
        <f>Q92*PI()/180</f>
        <v>0.3490658503988659</v>
      </c>
      <c r="R93" s="71">
        <f>R92*PI()/180</f>
        <v>0.3490658503988659</v>
      </c>
      <c r="S93" s="71">
        <f>S92*PI()/180</f>
        <v>0.3490658503988659</v>
      </c>
    </row>
    <row r="94" spans="1:19" outlineLevel="1" x14ac:dyDescent="0.3">
      <c r="A94" s="43" t="s">
        <v>430</v>
      </c>
      <c r="B94" s="59"/>
      <c r="C94" s="30" t="s">
        <v>49</v>
      </c>
      <c r="D94" s="676">
        <f t="shared" ca="1" si="12"/>
        <v>20</v>
      </c>
      <c r="E94" s="53"/>
      <c r="I94" s="1621">
        <f>Inputs!F525</f>
        <v>20</v>
      </c>
      <c r="J94" s="1621">
        <f>Inputs!G525</f>
        <v>20</v>
      </c>
      <c r="K94" s="1622">
        <f>Inputs!H525</f>
        <v>20</v>
      </c>
      <c r="L94" s="1621">
        <f>Inputs!I525</f>
        <v>20</v>
      </c>
      <c r="M94" s="1623">
        <f>Inputs!J525</f>
        <v>20</v>
      </c>
      <c r="N94" s="1621">
        <f>Inputs!K525</f>
        <v>20</v>
      </c>
      <c r="O94" s="1621">
        <f>Inputs!L525</f>
        <v>20</v>
      </c>
      <c r="P94" s="1621">
        <f>Inputs!M525</f>
        <v>20</v>
      </c>
      <c r="Q94" s="1630">
        <f>Inputs!N525</f>
        <v>20</v>
      </c>
      <c r="R94" s="1621">
        <f>Inputs!O525</f>
        <v>20</v>
      </c>
      <c r="S94" s="1621">
        <f>Inputs!P525</f>
        <v>20</v>
      </c>
    </row>
    <row r="95" spans="1:19" outlineLevel="1" x14ac:dyDescent="0.3">
      <c r="A95" s="43" t="s">
        <v>170</v>
      </c>
      <c r="B95" s="59"/>
      <c r="D95" s="676">
        <f t="shared" ca="1" si="12"/>
        <v>1</v>
      </c>
      <c r="E95" s="53"/>
      <c r="I95" s="1621">
        <f>Inputs!F526</f>
        <v>1</v>
      </c>
      <c r="J95" s="1621">
        <f>Inputs!G526</f>
        <v>1</v>
      </c>
      <c r="K95" s="1622">
        <f>Inputs!H526</f>
        <v>1</v>
      </c>
      <c r="L95" s="1621">
        <f>Inputs!I526</f>
        <v>1</v>
      </c>
      <c r="M95" s="1623">
        <f>Inputs!J526</f>
        <v>1</v>
      </c>
      <c r="N95" s="1621">
        <f>Inputs!K526</f>
        <v>1</v>
      </c>
      <c r="O95" s="1621">
        <f>Inputs!L526</f>
        <v>1</v>
      </c>
      <c r="P95" s="1621">
        <f>Inputs!M526</f>
        <v>1</v>
      </c>
      <c r="Q95" s="1630">
        <f>Inputs!N526</f>
        <v>1</v>
      </c>
      <c r="R95" s="1621">
        <f>Inputs!O526</f>
        <v>1</v>
      </c>
      <c r="S95" s="1621">
        <f>Inputs!P526</f>
        <v>1</v>
      </c>
    </row>
    <row r="96" spans="1:19" outlineLevel="1" x14ac:dyDescent="0.3">
      <c r="A96" s="43" t="s">
        <v>429</v>
      </c>
      <c r="B96" s="59"/>
      <c r="C96" s="30" t="s">
        <v>48</v>
      </c>
      <c r="D96" s="676">
        <f t="shared" ca="1" si="12"/>
        <v>0</v>
      </c>
      <c r="E96" s="53"/>
      <c r="I96" s="1621">
        <f>Inputs!F527</f>
        <v>4</v>
      </c>
      <c r="J96" s="1621">
        <f>Inputs!G527</f>
        <v>4</v>
      </c>
      <c r="K96" s="1622">
        <f>Inputs!H527</f>
        <v>4</v>
      </c>
      <c r="L96" s="1621">
        <f>Inputs!I527</f>
        <v>4</v>
      </c>
      <c r="M96" s="1623">
        <f>Inputs!J527</f>
        <v>4</v>
      </c>
      <c r="N96" s="1621">
        <f>Inputs!K527</f>
        <v>4</v>
      </c>
      <c r="O96" s="1621">
        <f>Inputs!L527</f>
        <v>4</v>
      </c>
      <c r="P96" s="1621">
        <f>Inputs!M527</f>
        <v>4</v>
      </c>
      <c r="Q96" s="1630">
        <f>Inputs!N527</f>
        <v>4</v>
      </c>
      <c r="R96" s="1621">
        <f>Inputs!O527</f>
        <v>4</v>
      </c>
      <c r="S96" s="1621">
        <f>Inputs!P527</f>
        <v>0</v>
      </c>
    </row>
    <row r="97" spans="1:27" outlineLevel="1" x14ac:dyDescent="0.3">
      <c r="A97" s="43" t="s">
        <v>1523</v>
      </c>
      <c r="B97" s="59"/>
      <c r="C97" s="30" t="s">
        <v>175</v>
      </c>
      <c r="D97" s="676">
        <f t="shared" ca="1" si="12"/>
        <v>40</v>
      </c>
      <c r="E97" s="53"/>
      <c r="I97" s="1621">
        <f>Inputs!F528</f>
        <v>30</v>
      </c>
      <c r="J97" s="1621">
        <f>Inputs!G528</f>
        <v>30</v>
      </c>
      <c r="K97" s="1622">
        <f>Inputs!H528</f>
        <v>30</v>
      </c>
      <c r="L97" s="1621">
        <f>Inputs!I528</f>
        <v>30</v>
      </c>
      <c r="M97" s="1623">
        <f>Inputs!J528</f>
        <v>30</v>
      </c>
      <c r="N97" s="1621">
        <f>Inputs!K528</f>
        <v>35</v>
      </c>
      <c r="O97" s="1621">
        <f>Inputs!L528</f>
        <v>35</v>
      </c>
      <c r="P97" s="1621">
        <f>Inputs!M528</f>
        <v>40</v>
      </c>
      <c r="Q97" s="1630">
        <f>Inputs!N528</f>
        <v>35</v>
      </c>
      <c r="R97" s="1621">
        <f>Inputs!O528</f>
        <v>40</v>
      </c>
      <c r="S97" s="1621">
        <f>Inputs!P528</f>
        <v>40</v>
      </c>
    </row>
    <row r="98" spans="1:27" outlineLevel="1" x14ac:dyDescent="0.3">
      <c r="A98" s="43" t="s">
        <v>1524</v>
      </c>
      <c r="B98" s="59"/>
      <c r="C98" s="30" t="s">
        <v>175</v>
      </c>
      <c r="D98" s="676">
        <f t="shared" ca="1" si="12"/>
        <v>30</v>
      </c>
      <c r="E98" s="53"/>
      <c r="I98" s="1621">
        <f>Inputs!F529</f>
        <v>20</v>
      </c>
      <c r="J98" s="1621">
        <f>Inputs!G529</f>
        <v>20</v>
      </c>
      <c r="K98" s="1622">
        <f>Inputs!H529</f>
        <v>20</v>
      </c>
      <c r="L98" s="1621">
        <f>Inputs!I529</f>
        <v>20</v>
      </c>
      <c r="M98" s="1623">
        <f>Inputs!J529</f>
        <v>20</v>
      </c>
      <c r="N98" s="1621">
        <f>Inputs!K529</f>
        <v>25</v>
      </c>
      <c r="O98" s="1621">
        <f>Inputs!L529</f>
        <v>25</v>
      </c>
      <c r="P98" s="1621">
        <f>Inputs!M529</f>
        <v>30</v>
      </c>
      <c r="Q98" s="1630">
        <f>Inputs!N529</f>
        <v>25</v>
      </c>
      <c r="R98" s="1621">
        <f>Inputs!O529</f>
        <v>30</v>
      </c>
      <c r="S98" s="1621">
        <f>Inputs!P529</f>
        <v>30</v>
      </c>
    </row>
    <row r="99" spans="1:27" outlineLevel="1" x14ac:dyDescent="0.3">
      <c r="A99" s="43" t="s">
        <v>1525</v>
      </c>
      <c r="B99" s="59"/>
      <c r="C99" s="30" t="s">
        <v>175</v>
      </c>
      <c r="D99" s="676">
        <f t="shared" ca="1" si="12"/>
        <v>5</v>
      </c>
      <c r="E99" s="53"/>
      <c r="I99" s="1621">
        <f>Inputs!F530</f>
        <v>5</v>
      </c>
      <c r="J99" s="1621">
        <f>Inputs!G530</f>
        <v>5</v>
      </c>
      <c r="K99" s="1622">
        <f>Inputs!H530</f>
        <v>5</v>
      </c>
      <c r="L99" s="1621">
        <f>Inputs!I530</f>
        <v>5</v>
      </c>
      <c r="M99" s="1623">
        <f>Inputs!J530</f>
        <v>5</v>
      </c>
      <c r="N99" s="1621">
        <f>Inputs!K530</f>
        <v>5</v>
      </c>
      <c r="O99" s="1621">
        <f>Inputs!L530</f>
        <v>5</v>
      </c>
      <c r="P99" s="1621">
        <f>Inputs!M530</f>
        <v>5</v>
      </c>
      <c r="Q99" s="1630">
        <f>Inputs!N530</f>
        <v>5</v>
      </c>
      <c r="R99" s="1621">
        <f>Inputs!O530</f>
        <v>5</v>
      </c>
      <c r="S99" s="1621">
        <f>Inputs!P530</f>
        <v>5</v>
      </c>
    </row>
    <row r="100" spans="1:27" outlineLevel="1" x14ac:dyDescent="0.3">
      <c r="A100" s="43" t="s">
        <v>1070</v>
      </c>
      <c r="B100" s="59"/>
      <c r="C100" s="30" t="s">
        <v>893</v>
      </c>
      <c r="D100" s="676">
        <f t="shared" ca="1" si="12"/>
        <v>1</v>
      </c>
      <c r="E100" s="53"/>
      <c r="F100" s="32" t="s">
        <v>1071</v>
      </c>
      <c r="I100" s="1621">
        <f>Inputs!F531</f>
        <v>1</v>
      </c>
      <c r="J100" s="1621">
        <f>Inputs!G531</f>
        <v>1</v>
      </c>
      <c r="K100" s="1622">
        <f>Inputs!H531</f>
        <v>1</v>
      </c>
      <c r="L100" s="1621">
        <f>Inputs!I531</f>
        <v>1</v>
      </c>
      <c r="M100" s="1623">
        <f>Inputs!J531</f>
        <v>1</v>
      </c>
      <c r="N100" s="1621">
        <f>Inputs!K531</f>
        <v>1</v>
      </c>
      <c r="O100" s="1621">
        <f>Inputs!L531</f>
        <v>1</v>
      </c>
      <c r="P100" s="1621">
        <f>Inputs!M531</f>
        <v>1</v>
      </c>
      <c r="Q100" s="1630">
        <f>Inputs!N531</f>
        <v>1</v>
      </c>
      <c r="R100" s="1621">
        <f>Inputs!O531</f>
        <v>1</v>
      </c>
      <c r="S100" s="1621">
        <f>Inputs!P531</f>
        <v>1</v>
      </c>
    </row>
    <row r="101" spans="1:27" outlineLevel="1" x14ac:dyDescent="0.3">
      <c r="A101" s="43" t="s">
        <v>1700</v>
      </c>
      <c r="B101" s="59"/>
      <c r="C101" s="30" t="s">
        <v>175</v>
      </c>
      <c r="D101" s="676">
        <f t="shared" ref="D101" ca="1" si="15">OFFSET(H101,0,scenario_nr)</f>
        <v>5</v>
      </c>
      <c r="E101" s="53"/>
      <c r="F101" s="32" t="s">
        <v>1071</v>
      </c>
      <c r="I101" s="1621">
        <f>Inputs!F532</f>
        <v>5</v>
      </c>
      <c r="J101" s="1621">
        <f>Inputs!G532</f>
        <v>5</v>
      </c>
      <c r="K101" s="1622">
        <f>Inputs!H532</f>
        <v>5</v>
      </c>
      <c r="L101" s="1621">
        <f>Inputs!I532</f>
        <v>5</v>
      </c>
      <c r="M101" s="1623">
        <f>Inputs!J532</f>
        <v>5</v>
      </c>
      <c r="N101" s="1621">
        <f>Inputs!K532</f>
        <v>5</v>
      </c>
      <c r="O101" s="1621">
        <f>Inputs!L532</f>
        <v>5</v>
      </c>
      <c r="P101" s="1621">
        <f>Inputs!M532</f>
        <v>5</v>
      </c>
      <c r="Q101" s="1630">
        <f>Inputs!N532</f>
        <v>5</v>
      </c>
      <c r="R101" s="1621">
        <f>Inputs!O532</f>
        <v>5</v>
      </c>
      <c r="S101" s="1621">
        <f>Inputs!P532</f>
        <v>5</v>
      </c>
    </row>
    <row r="102" spans="1:27" x14ac:dyDescent="0.3">
      <c r="I102" s="82"/>
      <c r="J102"/>
      <c r="K102" s="569"/>
      <c r="L102"/>
      <c r="M102" s="153"/>
      <c r="N102"/>
      <c r="O102"/>
      <c r="P102"/>
      <c r="Q102" s="154"/>
      <c r="R102"/>
      <c r="S102"/>
      <c r="W102" s="83"/>
      <c r="X102" s="83"/>
      <c r="Y102" s="83"/>
      <c r="Z102" s="83"/>
      <c r="AA102" s="83"/>
    </row>
    <row r="103" spans="1:27" x14ac:dyDescent="0.3">
      <c r="A103" s="40" t="s">
        <v>913</v>
      </c>
      <c r="B103" s="79"/>
      <c r="C103" s="343" t="s">
        <v>281</v>
      </c>
      <c r="D103" s="31" t="s">
        <v>282</v>
      </c>
      <c r="E103" s="42" t="s">
        <v>288</v>
      </c>
      <c r="F103" s="31" t="s">
        <v>1069</v>
      </c>
      <c r="G103" s="31"/>
      <c r="H103" s="31"/>
      <c r="I103" s="31"/>
      <c r="J103" s="31"/>
      <c r="K103" s="31"/>
      <c r="L103" s="31"/>
      <c r="M103" s="31"/>
      <c r="N103" s="31"/>
      <c r="O103" s="31"/>
      <c r="P103" s="31"/>
      <c r="Q103" s="31"/>
      <c r="R103" s="31"/>
      <c r="S103" s="31"/>
    </row>
    <row r="104" spans="1:27" x14ac:dyDescent="0.3">
      <c r="A104" s="43" t="s">
        <v>908</v>
      </c>
      <c r="C104" s="30" t="s">
        <v>305</v>
      </c>
      <c r="D104" s="687">
        <f t="shared" ref="D104:D109" ca="1" si="16">IF(offshore_floating,OFFSET(H104,0,scenario_nr),0)</f>
        <v>0</v>
      </c>
      <c r="E104" s="53"/>
      <c r="I104" s="1621">
        <f>Inputs!F534</f>
        <v>20</v>
      </c>
      <c r="J104" s="1621">
        <f>Inputs!G534</f>
        <v>20</v>
      </c>
      <c r="K104" s="573">
        <f t="shared" ref="K104:S104" ca="1" si="17">IF(P&gt;2000,3456,3456/2*P/1000)*greenfield*IF(offshore_floating,100%,50%)</f>
        <v>129.6</v>
      </c>
      <c r="L104" s="573">
        <f t="shared" ca="1" si="17"/>
        <v>129.6</v>
      </c>
      <c r="M104" s="573">
        <f t="shared" ca="1" si="17"/>
        <v>129.6</v>
      </c>
      <c r="N104" s="573">
        <f t="shared" ca="1" si="17"/>
        <v>129.6</v>
      </c>
      <c r="O104" s="573">
        <f t="shared" ca="1" si="17"/>
        <v>129.6</v>
      </c>
      <c r="P104" s="573">
        <f t="shared" ca="1" si="17"/>
        <v>129.6</v>
      </c>
      <c r="Q104" s="573">
        <f t="shared" ca="1" si="17"/>
        <v>129.6</v>
      </c>
      <c r="R104" s="573">
        <f t="shared" ca="1" si="17"/>
        <v>129.6</v>
      </c>
      <c r="S104" s="573">
        <f t="shared" ca="1" si="17"/>
        <v>129.6</v>
      </c>
      <c r="W104" s="83"/>
      <c r="X104" s="83"/>
      <c r="Y104" s="83"/>
      <c r="Z104" s="83"/>
      <c r="AA104" s="83"/>
    </row>
    <row r="105" spans="1:27" x14ac:dyDescent="0.3">
      <c r="A105" s="43" t="s">
        <v>909</v>
      </c>
      <c r="C105" s="30" t="s">
        <v>305</v>
      </c>
      <c r="D105" s="687">
        <f t="shared" ca="1" si="16"/>
        <v>0</v>
      </c>
      <c r="E105" s="53"/>
      <c r="I105" s="1621">
        <f>Inputs!F535</f>
        <v>20</v>
      </c>
      <c r="J105" s="1621">
        <f>Inputs!G535</f>
        <v>20</v>
      </c>
      <c r="K105" s="573">
        <f ca="1">IF(P&gt;2000,3456,3456/2*P/1000)*greenfield*IF(offshore_floating,100%,50%)</f>
        <v>129.6</v>
      </c>
      <c r="L105" s="1623">
        <v>0</v>
      </c>
      <c r="M105" s="1622">
        <v>0</v>
      </c>
      <c r="N105" s="1622">
        <v>0</v>
      </c>
      <c r="O105" s="1622">
        <v>0</v>
      </c>
      <c r="P105" s="1622">
        <v>0</v>
      </c>
      <c r="Q105" s="1622">
        <v>0</v>
      </c>
      <c r="R105" s="1630">
        <v>0</v>
      </c>
      <c r="S105" s="1630">
        <v>0</v>
      </c>
      <c r="W105" s="83"/>
      <c r="X105" s="83"/>
      <c r="Y105" s="83"/>
      <c r="Z105" s="83"/>
      <c r="AA105" s="83"/>
    </row>
    <row r="106" spans="1:27" x14ac:dyDescent="0.3">
      <c r="A106" s="43" t="s">
        <v>912</v>
      </c>
      <c r="C106" s="30" t="s">
        <v>305</v>
      </c>
      <c r="D106" s="687">
        <f t="shared" ca="1" si="16"/>
        <v>0</v>
      </c>
      <c r="E106" s="53"/>
      <c r="I106" s="1621">
        <f>Inputs!F536</f>
        <v>20</v>
      </c>
      <c r="J106" s="1621">
        <f>Inputs!G536</f>
        <v>20</v>
      </c>
      <c r="K106" s="1622">
        <f>Inputs!H536</f>
        <v>392</v>
      </c>
      <c r="L106" s="1623">
        <f>Inputs!I536</f>
        <v>392</v>
      </c>
      <c r="M106" s="1622">
        <f>Inputs!J536</f>
        <v>392</v>
      </c>
      <c r="N106" s="1622">
        <f>Inputs!K536</f>
        <v>392</v>
      </c>
      <c r="O106" s="1622">
        <f>Inputs!L536</f>
        <v>392</v>
      </c>
      <c r="P106" s="1622">
        <f>Inputs!M536</f>
        <v>392</v>
      </c>
      <c r="Q106" s="1622">
        <f>Inputs!N536</f>
        <v>392</v>
      </c>
      <c r="R106" s="1630">
        <f>Inputs!O536</f>
        <v>392</v>
      </c>
      <c r="S106" s="1630">
        <f>Inputs!P536</f>
        <v>392</v>
      </c>
      <c r="W106" s="83"/>
      <c r="X106" s="83"/>
      <c r="Y106" s="83"/>
      <c r="Z106" s="83"/>
      <c r="AA106" s="83"/>
    </row>
    <row r="107" spans="1:27" x14ac:dyDescent="0.3">
      <c r="A107" s="43" t="s">
        <v>1023</v>
      </c>
      <c r="C107" s="30" t="s">
        <v>973</v>
      </c>
      <c r="D107" s="687">
        <f t="shared" ca="1" si="16"/>
        <v>0</v>
      </c>
      <c r="I107" s="1621">
        <f>Inputs!F537</f>
        <v>0</v>
      </c>
      <c r="J107" s="1621">
        <f>Inputs!G537</f>
        <v>0</v>
      </c>
      <c r="K107" s="1622">
        <f>Inputs!H537</f>
        <v>0</v>
      </c>
      <c r="L107" s="1623">
        <f>Inputs!I537</f>
        <v>0</v>
      </c>
      <c r="M107" s="1622">
        <f>Inputs!J537</f>
        <v>0</v>
      </c>
      <c r="N107" s="1622">
        <f>Inputs!K537</f>
        <v>0</v>
      </c>
      <c r="O107" s="1622">
        <f>Inputs!L537</f>
        <v>0</v>
      </c>
      <c r="P107" s="1622">
        <f>Inputs!M537</f>
        <v>0</v>
      </c>
      <c r="Q107" s="1622">
        <f>Inputs!N537</f>
        <v>0</v>
      </c>
      <c r="R107" s="1630">
        <f>Inputs!O537</f>
        <v>0</v>
      </c>
      <c r="S107" s="1630">
        <f>Inputs!P537</f>
        <v>0</v>
      </c>
      <c r="W107" s="83"/>
      <c r="X107" s="83"/>
      <c r="Y107" s="83"/>
      <c r="Z107" s="83"/>
      <c r="AA107" s="83"/>
    </row>
    <row r="108" spans="1:27" x14ac:dyDescent="0.3">
      <c r="A108" s="43" t="s">
        <v>1024</v>
      </c>
      <c r="C108" s="30" t="s">
        <v>973</v>
      </c>
      <c r="D108" s="687">
        <f t="shared" ca="1" si="16"/>
        <v>0</v>
      </c>
      <c r="I108" s="1621">
        <f>Inputs!F538</f>
        <v>0</v>
      </c>
      <c r="J108" s="1621">
        <f>Inputs!G538</f>
        <v>0</v>
      </c>
      <c r="K108" s="1622">
        <f>Inputs!H538</f>
        <v>0</v>
      </c>
      <c r="L108" s="1623">
        <f>Inputs!I538</f>
        <v>0</v>
      </c>
      <c r="M108" s="1622">
        <f>Inputs!J538</f>
        <v>0</v>
      </c>
      <c r="N108" s="1622">
        <f>Inputs!K538</f>
        <v>0</v>
      </c>
      <c r="O108" s="1622">
        <f>Inputs!L538</f>
        <v>0</v>
      </c>
      <c r="P108" s="1622">
        <f>Inputs!M538</f>
        <v>0</v>
      </c>
      <c r="Q108" s="1622">
        <f>Inputs!N538</f>
        <v>0</v>
      </c>
      <c r="R108" s="1630">
        <f>Inputs!O538</f>
        <v>0</v>
      </c>
      <c r="S108" s="1630">
        <f>Inputs!P538</f>
        <v>0</v>
      </c>
      <c r="W108" s="83"/>
      <c r="X108" s="83"/>
      <c r="Y108" s="83"/>
      <c r="Z108" s="83"/>
      <c r="AA108" s="83"/>
    </row>
    <row r="109" spans="1:27" x14ac:dyDescent="0.3">
      <c r="A109" s="43" t="s">
        <v>1025</v>
      </c>
      <c r="C109" s="30" t="s">
        <v>973</v>
      </c>
      <c r="D109" s="687">
        <f t="shared" ca="1" si="16"/>
        <v>0</v>
      </c>
      <c r="I109" s="1621">
        <f>Inputs!F539</f>
        <v>0</v>
      </c>
      <c r="J109" s="1621">
        <f>Inputs!G539</f>
        <v>0</v>
      </c>
      <c r="K109" s="1622">
        <f>Inputs!H539</f>
        <v>0</v>
      </c>
      <c r="L109" s="1623">
        <f>Inputs!I539</f>
        <v>0</v>
      </c>
      <c r="M109" s="1622">
        <f>Inputs!J539</f>
        <v>0</v>
      </c>
      <c r="N109" s="1622">
        <f>Inputs!K539</f>
        <v>0</v>
      </c>
      <c r="O109" s="1622">
        <f>Inputs!L539</f>
        <v>0</v>
      </c>
      <c r="P109" s="1622">
        <f>Inputs!M539</f>
        <v>0</v>
      </c>
      <c r="Q109" s="1622">
        <f>Inputs!N539</f>
        <v>0</v>
      </c>
      <c r="R109" s="1630">
        <f>Inputs!O539</f>
        <v>0</v>
      </c>
      <c r="S109" s="1630">
        <f>Inputs!P539</f>
        <v>0</v>
      </c>
      <c r="W109" s="83"/>
      <c r="X109" s="83"/>
      <c r="Y109" s="83"/>
      <c r="Z109" s="83"/>
      <c r="AA109" s="83"/>
    </row>
    <row r="110" spans="1:27" x14ac:dyDescent="0.3">
      <c r="I110" s="82"/>
      <c r="J110"/>
      <c r="K110"/>
      <c r="L110"/>
      <c r="M110"/>
      <c r="N110"/>
      <c r="O110"/>
      <c r="P110"/>
      <c r="Q110"/>
      <c r="R110"/>
      <c r="S110"/>
      <c r="W110" s="83"/>
      <c r="X110" s="83"/>
      <c r="Y110" s="83"/>
      <c r="Z110" s="83"/>
      <c r="AA110" s="83"/>
    </row>
    <row r="111" spans="1:27" x14ac:dyDescent="0.3">
      <c r="I111" s="82"/>
      <c r="J111"/>
      <c r="K111"/>
      <c r="L111"/>
      <c r="M111"/>
      <c r="N111"/>
      <c r="O111"/>
      <c r="P111"/>
      <c r="Q111"/>
      <c r="R111"/>
      <c r="S111"/>
      <c r="W111" s="83"/>
      <c r="X111" s="83"/>
      <c r="Y111" s="83"/>
      <c r="Z111" s="83"/>
      <c r="AA111" s="83"/>
    </row>
    <row r="112" spans="1:27" x14ac:dyDescent="0.3">
      <c r="I112" s="82"/>
      <c r="J112"/>
      <c r="K112"/>
      <c r="L112"/>
      <c r="M112"/>
      <c r="N112"/>
      <c r="O112"/>
      <c r="P112"/>
      <c r="Q112"/>
      <c r="R112"/>
      <c r="S112"/>
      <c r="W112" s="83"/>
      <c r="X112" s="83"/>
      <c r="Y112" s="83"/>
      <c r="Z112" s="83"/>
      <c r="AA112" s="83"/>
    </row>
    <row r="113" spans="9:27" x14ac:dyDescent="0.3">
      <c r="I113" s="82"/>
      <c r="J113"/>
      <c r="K113"/>
      <c r="L113"/>
      <c r="M113"/>
      <c r="N113"/>
      <c r="O113"/>
      <c r="P113"/>
      <c r="Q113"/>
      <c r="R113"/>
      <c r="S113"/>
      <c r="W113" s="83"/>
      <c r="X113" s="83"/>
      <c r="Y113" s="83"/>
      <c r="Z113" s="83"/>
      <c r="AA113" s="83"/>
    </row>
    <row r="114" spans="9:27" x14ac:dyDescent="0.3">
      <c r="I114" s="82"/>
      <c r="J114"/>
      <c r="K114"/>
      <c r="L114"/>
      <c r="M114"/>
      <c r="N114"/>
      <c r="O114"/>
      <c r="P114"/>
      <c r="Q114"/>
      <c r="R114"/>
      <c r="S114"/>
      <c r="W114" s="83"/>
      <c r="X114" s="83"/>
      <c r="Y114" s="83"/>
      <c r="Z114" s="83"/>
      <c r="AA114" s="83"/>
    </row>
    <row r="115" spans="9:27" x14ac:dyDescent="0.3">
      <c r="I115" s="82"/>
      <c r="J115"/>
      <c r="K115"/>
      <c r="L115"/>
      <c r="M115"/>
      <c r="N115"/>
      <c r="O115"/>
      <c r="P115"/>
      <c r="Q115"/>
      <c r="R115"/>
      <c r="S115"/>
      <c r="W115" s="83"/>
      <c r="X115" s="83"/>
      <c r="Y115" s="83"/>
      <c r="Z115" s="83"/>
      <c r="AA115" s="83"/>
    </row>
    <row r="116" spans="9:27" x14ac:dyDescent="0.3">
      <c r="I116" s="82"/>
      <c r="J116"/>
      <c r="K116"/>
      <c r="L116"/>
      <c r="M116"/>
      <c r="N116"/>
      <c r="O116"/>
      <c r="P116"/>
      <c r="Q116"/>
      <c r="R116"/>
      <c r="S116"/>
      <c r="W116" s="83"/>
      <c r="X116" s="83"/>
      <c r="Y116" s="83"/>
      <c r="Z116" s="83"/>
      <c r="AA116" s="83"/>
    </row>
    <row r="117" spans="9:27" x14ac:dyDescent="0.3">
      <c r="I117" s="82"/>
      <c r="J117"/>
      <c r="K117"/>
      <c r="L117"/>
      <c r="M117"/>
      <c r="N117"/>
      <c r="O117"/>
      <c r="P117"/>
      <c r="Q117"/>
      <c r="R117"/>
      <c r="S117"/>
      <c r="W117" s="83"/>
      <c r="X117" s="83"/>
      <c r="Y117" s="83"/>
      <c r="Z117" s="83"/>
      <c r="AA117" s="83"/>
    </row>
    <row r="118" spans="9:27" x14ac:dyDescent="0.3">
      <c r="I118" s="82"/>
      <c r="J118"/>
      <c r="K118"/>
      <c r="L118"/>
      <c r="M118"/>
      <c r="N118"/>
      <c r="O118"/>
      <c r="P118"/>
      <c r="Q118"/>
      <c r="R118"/>
      <c r="S118"/>
      <c r="W118" s="83"/>
      <c r="X118" s="83"/>
      <c r="Y118" s="83"/>
      <c r="Z118" s="83"/>
      <c r="AA118" s="83"/>
    </row>
    <row r="119" spans="9:27" x14ac:dyDescent="0.3">
      <c r="I119" s="82"/>
      <c r="J119"/>
      <c r="K119"/>
      <c r="L119"/>
      <c r="M119"/>
      <c r="N119"/>
      <c r="O119"/>
      <c r="P119"/>
      <c r="Q119"/>
      <c r="R119"/>
      <c r="S119"/>
      <c r="W119" s="83"/>
      <c r="X119" s="83"/>
      <c r="Y119" s="83"/>
      <c r="Z119" s="83"/>
      <c r="AA119" s="83"/>
    </row>
    <row r="120" spans="9:27" x14ac:dyDescent="0.3">
      <c r="I120" s="82"/>
      <c r="J120"/>
      <c r="K120"/>
      <c r="L120"/>
      <c r="M120"/>
      <c r="N120"/>
      <c r="O120"/>
      <c r="P120"/>
      <c r="Q120"/>
      <c r="R120"/>
      <c r="S120"/>
      <c r="W120" s="83"/>
      <c r="X120" s="83"/>
      <c r="Y120" s="83"/>
      <c r="Z120" s="83"/>
      <c r="AA120" s="83"/>
    </row>
    <row r="121" spans="9:27" x14ac:dyDescent="0.3">
      <c r="I121" s="82"/>
      <c r="J121"/>
      <c r="K121"/>
      <c r="L121"/>
      <c r="M121"/>
      <c r="N121"/>
      <c r="O121"/>
      <c r="P121"/>
      <c r="Q121"/>
      <c r="R121"/>
      <c r="S121"/>
      <c r="W121" s="83"/>
      <c r="X121" s="83"/>
      <c r="Y121" s="83"/>
      <c r="Z121" s="83"/>
      <c r="AA121" s="83"/>
    </row>
    <row r="122" spans="9:27" x14ac:dyDescent="0.3">
      <c r="I122" s="82"/>
      <c r="J122"/>
      <c r="K122"/>
      <c r="L122"/>
      <c r="M122"/>
      <c r="N122"/>
      <c r="O122"/>
      <c r="P122"/>
      <c r="Q122"/>
      <c r="R122"/>
      <c r="S122"/>
      <c r="W122" s="83"/>
      <c r="X122" s="83"/>
      <c r="Y122" s="83"/>
      <c r="Z122" s="83"/>
      <c r="AA122" s="83"/>
    </row>
    <row r="123" spans="9:27" x14ac:dyDescent="0.3">
      <c r="I123" s="82"/>
      <c r="J123"/>
      <c r="K123"/>
      <c r="L123"/>
      <c r="M123"/>
      <c r="N123"/>
      <c r="O123"/>
      <c r="P123"/>
      <c r="Q123"/>
      <c r="R123"/>
      <c r="S123"/>
      <c r="W123" s="83"/>
      <c r="X123" s="83"/>
      <c r="Y123" s="83"/>
      <c r="Z123" s="83"/>
      <c r="AA123" s="83"/>
    </row>
    <row r="124" spans="9:27" x14ac:dyDescent="0.3">
      <c r="I124" s="82"/>
      <c r="J124"/>
      <c r="K124"/>
      <c r="L124"/>
      <c r="M124"/>
      <c r="N124"/>
      <c r="O124"/>
      <c r="P124"/>
      <c r="Q124"/>
      <c r="R124"/>
      <c r="S124"/>
      <c r="W124" s="83"/>
      <c r="X124" s="83"/>
      <c r="Y124" s="83"/>
      <c r="Z124" s="83"/>
      <c r="AA124" s="83"/>
    </row>
    <row r="125" spans="9:27" x14ac:dyDescent="0.3">
      <c r="I125" s="82"/>
      <c r="J125"/>
      <c r="K125"/>
      <c r="L125"/>
      <c r="M125"/>
      <c r="N125"/>
      <c r="O125"/>
      <c r="P125"/>
      <c r="Q125"/>
      <c r="R125"/>
      <c r="S125"/>
      <c r="W125" s="83"/>
      <c r="X125" s="83"/>
      <c r="Y125" s="83"/>
      <c r="Z125" s="83"/>
      <c r="AA125" s="83"/>
    </row>
    <row r="126" spans="9:27" x14ac:dyDescent="0.3">
      <c r="I126" s="82"/>
      <c r="J126"/>
      <c r="K126"/>
      <c r="L126"/>
      <c r="M126"/>
      <c r="N126"/>
      <c r="O126"/>
      <c r="P126"/>
      <c r="Q126"/>
      <c r="R126"/>
      <c r="S126"/>
      <c r="W126" s="83"/>
      <c r="X126" s="83"/>
      <c r="Y126" s="83"/>
      <c r="Z126" s="83"/>
      <c r="AA126" s="83"/>
    </row>
    <row r="127" spans="9:27" x14ac:dyDescent="0.3">
      <c r="I127" s="82"/>
      <c r="J127"/>
      <c r="K127"/>
      <c r="L127"/>
      <c r="M127"/>
      <c r="N127"/>
      <c r="O127"/>
      <c r="P127"/>
      <c r="Q127"/>
      <c r="R127"/>
      <c r="S127"/>
      <c r="W127" s="83"/>
      <c r="X127" s="83"/>
      <c r="Y127" s="83"/>
      <c r="Z127" s="83"/>
      <c r="AA127" s="83"/>
    </row>
    <row r="128" spans="9:27" x14ac:dyDescent="0.3">
      <c r="I128" s="82"/>
      <c r="J128"/>
      <c r="K128"/>
      <c r="L128"/>
      <c r="M128"/>
      <c r="N128"/>
      <c r="O128"/>
      <c r="P128"/>
      <c r="Q128"/>
      <c r="R128"/>
      <c r="S128"/>
      <c r="W128" s="83"/>
      <c r="X128" s="83"/>
      <c r="Y128" s="83"/>
      <c r="Z128" s="83"/>
      <c r="AA128" s="83"/>
    </row>
    <row r="129" spans="9:27" x14ac:dyDescent="0.3">
      <c r="I129" s="82"/>
      <c r="J129"/>
      <c r="K129"/>
      <c r="L129"/>
      <c r="M129"/>
      <c r="N129"/>
      <c r="O129"/>
      <c r="P129"/>
      <c r="Q129"/>
      <c r="R129"/>
      <c r="S129"/>
      <c r="W129" s="83"/>
      <c r="X129" s="83"/>
      <c r="Y129" s="83"/>
      <c r="Z129" s="83"/>
      <c r="AA129" s="83"/>
    </row>
    <row r="130" spans="9:27" x14ac:dyDescent="0.3">
      <c r="I130" s="82"/>
      <c r="J130"/>
      <c r="K130"/>
      <c r="L130"/>
      <c r="M130"/>
      <c r="N130"/>
      <c r="O130"/>
      <c r="P130"/>
      <c r="Q130"/>
      <c r="R130"/>
      <c r="S130"/>
      <c r="W130" s="83"/>
      <c r="X130" s="83"/>
      <c r="Y130" s="83"/>
      <c r="Z130" s="83"/>
      <c r="AA130" s="83"/>
    </row>
    <row r="131" spans="9:27" x14ac:dyDescent="0.3">
      <c r="I131" s="82"/>
      <c r="J131"/>
      <c r="K131"/>
      <c r="L131"/>
      <c r="M131"/>
      <c r="N131"/>
      <c r="O131"/>
      <c r="P131"/>
      <c r="Q131"/>
      <c r="R131"/>
      <c r="S131"/>
      <c r="W131" s="83"/>
      <c r="X131" s="83"/>
      <c r="Y131" s="83"/>
      <c r="Z131" s="83"/>
      <c r="AA131" s="83"/>
    </row>
    <row r="132" spans="9:27" x14ac:dyDescent="0.3">
      <c r="I132" s="82"/>
      <c r="J132"/>
      <c r="K132"/>
      <c r="L132"/>
      <c r="M132"/>
      <c r="N132"/>
      <c r="O132"/>
      <c r="P132"/>
      <c r="Q132"/>
      <c r="R132"/>
      <c r="S132"/>
      <c r="W132" s="83"/>
      <c r="X132" s="83"/>
      <c r="Y132" s="83"/>
      <c r="Z132" s="83"/>
      <c r="AA132" s="83"/>
    </row>
    <row r="133" spans="9:27" x14ac:dyDescent="0.3">
      <c r="I133" s="82"/>
      <c r="J133"/>
      <c r="K133"/>
      <c r="L133"/>
      <c r="M133"/>
      <c r="N133"/>
      <c r="O133"/>
      <c r="P133"/>
      <c r="Q133"/>
      <c r="R133"/>
      <c r="S133"/>
      <c r="W133" s="83"/>
      <c r="X133" s="83"/>
      <c r="Y133" s="83"/>
      <c r="Z133" s="83"/>
      <c r="AA133" s="83"/>
    </row>
    <row r="134" spans="9:27" x14ac:dyDescent="0.3">
      <c r="I134" s="82"/>
      <c r="J134"/>
      <c r="K134"/>
      <c r="L134"/>
      <c r="M134"/>
      <c r="N134"/>
      <c r="O134"/>
      <c r="P134"/>
      <c r="Q134"/>
      <c r="R134"/>
      <c r="S134"/>
      <c r="W134" s="83"/>
      <c r="X134" s="83"/>
      <c r="Y134" s="83"/>
      <c r="Z134" s="83"/>
      <c r="AA134" s="83"/>
    </row>
    <row r="135" spans="9:27" x14ac:dyDescent="0.3">
      <c r="I135" s="82"/>
      <c r="J135"/>
      <c r="K135"/>
      <c r="L135"/>
      <c r="M135"/>
      <c r="N135"/>
      <c r="O135"/>
      <c r="P135"/>
      <c r="Q135"/>
      <c r="R135"/>
      <c r="S135"/>
      <c r="W135" s="83"/>
      <c r="X135" s="83"/>
      <c r="Y135" s="83"/>
      <c r="Z135" s="83"/>
      <c r="AA135" s="83"/>
    </row>
    <row r="136" spans="9:27" x14ac:dyDescent="0.3">
      <c r="I136" s="82"/>
      <c r="J136"/>
      <c r="K136"/>
      <c r="L136"/>
      <c r="M136"/>
      <c r="N136"/>
      <c r="O136"/>
      <c r="P136"/>
      <c r="Q136"/>
      <c r="R136"/>
      <c r="S136"/>
      <c r="W136" s="83"/>
      <c r="X136" s="83"/>
      <c r="Y136" s="83"/>
      <c r="Z136" s="83"/>
      <c r="AA136" s="83"/>
    </row>
    <row r="137" spans="9:27" x14ac:dyDescent="0.3">
      <c r="I137" s="82"/>
      <c r="J137"/>
      <c r="K137"/>
      <c r="L137"/>
      <c r="M137"/>
      <c r="N137"/>
      <c r="O137"/>
      <c r="P137"/>
      <c r="Q137"/>
      <c r="R137"/>
      <c r="S137"/>
      <c r="W137" s="83"/>
      <c r="X137" s="83"/>
      <c r="Y137" s="83"/>
      <c r="Z137" s="83"/>
      <c r="AA137" s="83"/>
    </row>
    <row r="138" spans="9:27" x14ac:dyDescent="0.3">
      <c r="I138" s="82"/>
      <c r="J138"/>
      <c r="K138"/>
      <c r="L138"/>
      <c r="M138"/>
      <c r="N138"/>
      <c r="O138"/>
      <c r="P138"/>
      <c r="Q138"/>
      <c r="R138"/>
      <c r="S138"/>
      <c r="W138" s="83"/>
      <c r="X138" s="83"/>
      <c r="Y138" s="83"/>
      <c r="Z138" s="83"/>
      <c r="AA138" s="83"/>
    </row>
    <row r="139" spans="9:27" x14ac:dyDescent="0.3">
      <c r="I139" s="82"/>
      <c r="J139"/>
      <c r="K139"/>
      <c r="L139"/>
      <c r="M139"/>
      <c r="N139"/>
      <c r="O139"/>
      <c r="P139"/>
      <c r="Q139"/>
      <c r="R139"/>
      <c r="S139"/>
      <c r="W139" s="83"/>
      <c r="X139" s="83"/>
      <c r="Y139" s="83"/>
      <c r="Z139" s="83"/>
      <c r="AA139" s="83"/>
    </row>
    <row r="140" spans="9:27" x14ac:dyDescent="0.3">
      <c r="I140" s="82"/>
      <c r="J140"/>
      <c r="K140"/>
      <c r="L140"/>
      <c r="M140"/>
      <c r="N140"/>
      <c r="O140"/>
      <c r="P140"/>
      <c r="Q140"/>
      <c r="R140"/>
      <c r="S140"/>
      <c r="W140" s="83"/>
      <c r="X140" s="83"/>
      <c r="Y140" s="83"/>
      <c r="Z140" s="83"/>
      <c r="AA140" s="83"/>
    </row>
  </sheetData>
  <pageMargins left="0.7" right="0.7" top="0.75" bottom="0.75" header="0.3" footer="0.3"/>
  <pageSetup paperSize="9" orientation="portrait" horizontalDpi="300" verticalDpi="300" r:id="rId1"/>
  <drawing r:id="rId2"/>
  <legacyDrawing r:id="rId3"/>
  <mc:AlternateContent xmlns:mc="http://schemas.openxmlformats.org/markup-compatibility/2006">
    <mc:Choice Requires="x14">
      <controls>
        <mc:AlternateContent xmlns:mc="http://schemas.openxmlformats.org/markup-compatibility/2006">
          <mc:Choice Requires="x14">
            <control shapeId="30843" r:id="rId4" name="Drop Down 123">
              <controlPr defaultSize="0" autoLine="0" autoPict="0">
                <anchor>
                  <from>
                    <xdr:col>0</xdr:col>
                    <xdr:colOff>95250</xdr:colOff>
                    <xdr:row>2</xdr:row>
                    <xdr:rowOff>104775</xdr:rowOff>
                  </from>
                  <to>
                    <xdr:col>1</xdr:col>
                    <xdr:colOff>714375</xdr:colOff>
                    <xdr:row>3</xdr:row>
                    <xdr:rowOff>152400</xdr:rowOff>
                  </to>
                </anchor>
              </controlPr>
            </control>
          </mc:Choice>
        </mc:AlternateContent>
        <mc:AlternateContent xmlns:mc="http://schemas.openxmlformats.org/markup-compatibility/2006">
          <mc:Choice Requires="x14">
            <control shapeId="30844" r:id="rId5" name="Drop Down 124">
              <controlPr defaultSize="0" autoLine="0" autoPict="0">
                <anchor>
                  <from>
                    <xdr:col>1</xdr:col>
                    <xdr:colOff>762000</xdr:colOff>
                    <xdr:row>2</xdr:row>
                    <xdr:rowOff>104775</xdr:rowOff>
                  </from>
                  <to>
                    <xdr:col>2</xdr:col>
                    <xdr:colOff>552450</xdr:colOff>
                    <xdr:row>3</xdr:row>
                    <xdr:rowOff>152400</xdr:rowOff>
                  </to>
                </anchor>
              </controlPr>
            </control>
          </mc:Choice>
        </mc:AlternateContent>
        <mc:AlternateContent xmlns:mc="http://schemas.openxmlformats.org/markup-compatibility/2006">
          <mc:Choice Requires="x14">
            <control shapeId="30845" r:id="rId6" name="Drop Down 125">
              <controlPr defaultSize="0" autoLine="0" autoPict="0">
                <anchor>
                  <from>
                    <xdr:col>3</xdr:col>
                    <xdr:colOff>819150</xdr:colOff>
                    <xdr:row>2</xdr:row>
                    <xdr:rowOff>104775</xdr:rowOff>
                  </from>
                  <to>
                    <xdr:col>4</xdr:col>
                    <xdr:colOff>409575</xdr:colOff>
                    <xdr:row>3</xdr:row>
                    <xdr:rowOff>152400</xdr:rowOff>
                  </to>
                </anchor>
              </controlPr>
            </control>
          </mc:Choice>
        </mc:AlternateContent>
        <mc:AlternateContent xmlns:mc="http://schemas.openxmlformats.org/markup-compatibility/2006">
          <mc:Choice Requires="x14">
            <control shapeId="30846" r:id="rId7" name="Drop Down 126">
              <controlPr defaultSize="0" autoLine="0" autoPict="0">
                <anchor>
                  <from>
                    <xdr:col>0</xdr:col>
                    <xdr:colOff>104775</xdr:colOff>
                    <xdr:row>4</xdr:row>
                    <xdr:rowOff>47625</xdr:rowOff>
                  </from>
                  <to>
                    <xdr:col>0</xdr:col>
                    <xdr:colOff>647700</xdr:colOff>
                    <xdr:row>5</xdr:row>
                    <xdr:rowOff>85725</xdr:rowOff>
                  </to>
                </anchor>
              </controlPr>
            </control>
          </mc:Choice>
        </mc:AlternateContent>
        <mc:AlternateContent xmlns:mc="http://schemas.openxmlformats.org/markup-compatibility/2006">
          <mc:Choice Requires="x14">
            <control shapeId="30847" r:id="rId8" name="Drop Down 127">
              <controlPr defaultSize="0" autoLine="0" autoPict="0">
                <anchor>
                  <from>
                    <xdr:col>0</xdr:col>
                    <xdr:colOff>704850</xdr:colOff>
                    <xdr:row>4</xdr:row>
                    <xdr:rowOff>47625</xdr:rowOff>
                  </from>
                  <to>
                    <xdr:col>1</xdr:col>
                    <xdr:colOff>609600</xdr:colOff>
                    <xdr:row>5</xdr:row>
                    <xdr:rowOff>85725</xdr:rowOff>
                  </to>
                </anchor>
              </controlPr>
            </control>
          </mc:Choice>
        </mc:AlternateContent>
        <mc:AlternateContent xmlns:mc="http://schemas.openxmlformats.org/markup-compatibility/2006">
          <mc:Choice Requires="x14">
            <control shapeId="30848" r:id="rId9" name="Drop Down 128">
              <controlPr defaultSize="0" autoLine="0" autoPict="0">
                <anchor>
                  <from>
                    <xdr:col>1</xdr:col>
                    <xdr:colOff>676275</xdr:colOff>
                    <xdr:row>4</xdr:row>
                    <xdr:rowOff>47625</xdr:rowOff>
                  </from>
                  <to>
                    <xdr:col>2</xdr:col>
                    <xdr:colOff>552450</xdr:colOff>
                    <xdr:row>5</xdr:row>
                    <xdr:rowOff>85725</xdr:rowOff>
                  </to>
                </anchor>
              </controlPr>
            </control>
          </mc:Choice>
        </mc:AlternateContent>
        <mc:AlternateContent xmlns:mc="http://schemas.openxmlformats.org/markup-compatibility/2006">
          <mc:Choice Requires="x14">
            <control shapeId="30849" r:id="rId10" name="Drop Down 129">
              <controlPr defaultSize="0" autoLine="0" autoPict="0">
                <anchor>
                  <from>
                    <xdr:col>2</xdr:col>
                    <xdr:colOff>609600</xdr:colOff>
                    <xdr:row>4</xdr:row>
                    <xdr:rowOff>47625</xdr:rowOff>
                  </from>
                  <to>
                    <xdr:col>3</xdr:col>
                    <xdr:colOff>571500</xdr:colOff>
                    <xdr:row>5</xdr:row>
                    <xdr:rowOff>85725</xdr:rowOff>
                  </to>
                </anchor>
              </controlPr>
            </control>
          </mc:Choice>
        </mc:AlternateContent>
        <mc:AlternateContent xmlns:mc="http://schemas.openxmlformats.org/markup-compatibility/2006">
          <mc:Choice Requires="x14">
            <control shapeId="30850" r:id="rId11" name="Check Box 130">
              <controlPr defaultSize="0" autoFill="0" autoLine="0" autoPict="0">
                <anchor moveWithCells="1">
                  <from>
                    <xdr:col>3</xdr:col>
                    <xdr:colOff>142875</xdr:colOff>
                    <xdr:row>0</xdr:row>
                    <xdr:rowOff>104775</xdr:rowOff>
                  </from>
                  <to>
                    <xdr:col>3</xdr:col>
                    <xdr:colOff>1104900</xdr:colOff>
                    <xdr:row>1</xdr:row>
                    <xdr:rowOff>95250</xdr:rowOff>
                  </to>
                </anchor>
              </controlPr>
            </control>
          </mc:Choice>
        </mc:AlternateContent>
        <mc:AlternateContent xmlns:mc="http://schemas.openxmlformats.org/markup-compatibility/2006">
          <mc:Choice Requires="x14">
            <control shapeId="30851" r:id="rId12" name="Check Box 131">
              <controlPr defaultSize="0" autoFill="0" autoLine="0" autoPict="0">
                <anchor moveWithCells="1">
                  <from>
                    <xdr:col>2</xdr:col>
                    <xdr:colOff>152400</xdr:colOff>
                    <xdr:row>0</xdr:row>
                    <xdr:rowOff>85725</xdr:rowOff>
                  </from>
                  <to>
                    <xdr:col>3</xdr:col>
                    <xdr:colOff>114300</xdr:colOff>
                    <xdr:row>1</xdr:row>
                    <xdr:rowOff>114300</xdr:rowOff>
                  </to>
                </anchor>
              </controlPr>
            </control>
          </mc:Choice>
        </mc:AlternateContent>
        <mc:AlternateContent xmlns:mc="http://schemas.openxmlformats.org/markup-compatibility/2006">
          <mc:Choice Requires="x14">
            <control shapeId="30852" r:id="rId13" name="Check Box 132">
              <controlPr defaultSize="0" autoFill="0" autoLine="0" autoPict="0">
                <anchor moveWithCells="1">
                  <from>
                    <xdr:col>1</xdr:col>
                    <xdr:colOff>476250</xdr:colOff>
                    <xdr:row>0</xdr:row>
                    <xdr:rowOff>85725</xdr:rowOff>
                  </from>
                  <to>
                    <xdr:col>2</xdr:col>
                    <xdr:colOff>104775</xdr:colOff>
                    <xdr:row>1</xdr:row>
                    <xdr:rowOff>85725</xdr:rowOff>
                  </to>
                </anchor>
              </controlPr>
            </control>
          </mc:Choice>
        </mc:AlternateContent>
        <mc:AlternateContent xmlns:mc="http://schemas.openxmlformats.org/markup-compatibility/2006">
          <mc:Choice Requires="x14">
            <control shapeId="30853" r:id="rId14" name="Drop Down 133">
              <controlPr defaultSize="0" autoLine="0" autoPict="0">
                <anchor moveWithCells="1">
                  <from>
                    <xdr:col>3</xdr:col>
                    <xdr:colOff>647700</xdr:colOff>
                    <xdr:row>4</xdr:row>
                    <xdr:rowOff>47625</xdr:rowOff>
                  </from>
                  <to>
                    <xdr:col>4</xdr:col>
                    <xdr:colOff>409575</xdr:colOff>
                    <xdr:row>5</xdr:row>
                    <xdr:rowOff>85725</xdr:rowOff>
                  </to>
                </anchor>
              </controlPr>
            </control>
          </mc:Choice>
        </mc:AlternateContent>
        <mc:AlternateContent xmlns:mc="http://schemas.openxmlformats.org/markup-compatibility/2006">
          <mc:Choice Requires="x14">
            <control shapeId="30854" r:id="rId15" name="Drop Down 134">
              <controlPr defaultSize="0" autoLine="0" autoPict="0">
                <anchor>
                  <from>
                    <xdr:col>2</xdr:col>
                    <xdr:colOff>600075</xdr:colOff>
                    <xdr:row>2</xdr:row>
                    <xdr:rowOff>104775</xdr:rowOff>
                  </from>
                  <to>
                    <xdr:col>3</xdr:col>
                    <xdr:colOff>771525</xdr:colOff>
                    <xdr:row>3</xdr:row>
                    <xdr:rowOff>152400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BB92"/>
  <sheetViews>
    <sheetView showGridLines="0" topLeftCell="B2" zoomScale="90" zoomScaleNormal="90" workbookViewId="0">
      <pane ySplit="6" topLeftCell="A8" activePane="bottomLeft" state="frozen"/>
      <selection activeCell="L105" sqref="L105"/>
      <selection pane="bottomLeft" activeCell="R11" sqref="R11"/>
    </sheetView>
  </sheetViews>
  <sheetFormatPr defaultColWidth="9" defaultRowHeight="22.15" customHeight="1" x14ac:dyDescent="0.3"/>
  <cols>
    <col min="1" max="1" width="4.125" style="512" hidden="1" customWidth="1"/>
    <col min="2" max="2" width="4.625" style="511" customWidth="1"/>
    <col min="3" max="3" width="5.875" style="511" hidden="1" customWidth="1"/>
    <col min="4" max="4" width="10.375" style="512" customWidth="1"/>
    <col min="5" max="18" width="9.875" style="512" customWidth="1"/>
    <col min="19" max="19" width="6.375" style="512" customWidth="1"/>
    <col min="20" max="21" width="9" style="512"/>
    <col min="22" max="22" width="26" style="512" customWidth="1"/>
    <col min="23" max="23" width="12.625" style="512" customWidth="1"/>
    <col min="24" max="24" width="12" style="512" bestFit="1" customWidth="1"/>
    <col min="25" max="27" width="9" style="512"/>
    <col min="28" max="28" width="7.875" style="512" customWidth="1"/>
    <col min="29" max="29" width="9" style="512"/>
    <col min="30" max="30" width="7" style="512" customWidth="1"/>
    <col min="31" max="38" width="9" style="512"/>
    <col min="39" max="39" width="5.875" style="512" customWidth="1"/>
    <col min="40" max="16384" width="9" style="512"/>
  </cols>
  <sheetData>
    <row r="1" spans="1:54" ht="22.15" hidden="1" customHeight="1" x14ac:dyDescent="0.3">
      <c r="E1" s="639">
        <v>1</v>
      </c>
      <c r="F1" s="639">
        <v>2</v>
      </c>
      <c r="G1" s="639">
        <v>3</v>
      </c>
      <c r="H1" s="639">
        <v>4</v>
      </c>
      <c r="I1" s="639">
        <v>5</v>
      </c>
      <c r="J1" s="639">
        <v>6</v>
      </c>
      <c r="K1" s="639">
        <v>7</v>
      </c>
      <c r="L1" s="639">
        <v>8</v>
      </c>
      <c r="M1" s="639">
        <v>9</v>
      </c>
      <c r="N1" s="639">
        <v>10</v>
      </c>
      <c r="O1" s="639">
        <v>11</v>
      </c>
      <c r="P1" s="639">
        <v>12</v>
      </c>
      <c r="Q1" s="639">
        <v>13</v>
      </c>
      <c r="R1" s="639">
        <v>14</v>
      </c>
      <c r="S1" s="639"/>
      <c r="T1" s="639"/>
    </row>
    <row r="2" spans="1:54" ht="22.15" customHeight="1" x14ac:dyDescent="0.3">
      <c r="B2" s="510" t="s">
        <v>470</v>
      </c>
      <c r="E2" s="639"/>
      <c r="F2" s="639"/>
      <c r="G2" s="639"/>
      <c r="H2" s="639"/>
      <c r="I2" s="639"/>
      <c r="J2" s="639"/>
      <c r="K2" s="639"/>
      <c r="L2" s="639"/>
      <c r="M2" s="639"/>
      <c r="N2" s="639"/>
      <c r="O2" s="639"/>
      <c r="P2" s="639"/>
      <c r="Q2" s="639"/>
      <c r="R2" s="639"/>
      <c r="S2" s="639"/>
      <c r="T2" s="639"/>
    </row>
    <row r="3" spans="1:54" ht="15.75" thickBot="1" x14ac:dyDescent="0.35">
      <c r="B3" s="1383" t="s">
        <v>1054</v>
      </c>
      <c r="E3" s="1886" t="str">
        <f ca="1">scenario</f>
        <v>10 - Model run - external</v>
      </c>
      <c r="F3" s="639"/>
      <c r="G3" s="639"/>
      <c r="H3" s="639"/>
      <c r="I3" s="639"/>
      <c r="J3" s="639"/>
      <c r="K3" s="639"/>
      <c r="L3" s="1418" t="s">
        <v>988</v>
      </c>
      <c r="M3" s="639"/>
      <c r="N3" s="639"/>
      <c r="O3" s="639"/>
      <c r="P3" s="639"/>
      <c r="R3" s="1435" t="s">
        <v>1047</v>
      </c>
      <c r="S3" s="1368"/>
      <c r="T3" s="1368"/>
      <c r="U3" s="1368"/>
    </row>
    <row r="4" spans="1:54" s="1149" customFormat="1" ht="15" x14ac:dyDescent="0.3">
      <c r="A4" s="1350"/>
      <c r="B4" s="1385"/>
      <c r="C4" s="1351"/>
      <c r="D4" s="1475" t="s">
        <v>296</v>
      </c>
      <c r="E4" s="1474">
        <f>scenario_size</f>
        <v>0</v>
      </c>
      <c r="F4" s="1475" t="s">
        <v>603</v>
      </c>
      <c r="G4" s="1483">
        <f>park_size</f>
        <v>0</v>
      </c>
      <c r="H4" s="1476" t="s">
        <v>738</v>
      </c>
      <c r="I4" s="1484">
        <f>Ampyx_WACC_selected</f>
        <v>0</v>
      </c>
      <c r="J4" s="1476" t="s">
        <v>1035</v>
      </c>
      <c r="K4" s="1491">
        <f>Horizon_selected</f>
        <v>0</v>
      </c>
      <c r="L4" s="1370" t="s">
        <v>75</v>
      </c>
      <c r="M4" s="1373">
        <f ca="1">Performance!C4</f>
        <v>150</v>
      </c>
      <c r="N4" s="1369" t="s">
        <v>501</v>
      </c>
      <c r="O4" s="1375">
        <f ca="1">N</f>
        <v>30</v>
      </c>
      <c r="P4" s="1365" t="s">
        <v>292</v>
      </c>
      <c r="Q4" s="1352">
        <f ca="1">horizon</f>
        <v>25</v>
      </c>
      <c r="R4" s="1360" t="s">
        <v>1048</v>
      </c>
      <c r="V4" s="1346"/>
      <c r="W4" s="1346"/>
      <c r="X4" s="1346"/>
      <c r="Y4" s="1346"/>
      <c r="Z4" s="1346"/>
      <c r="AA4" s="1346"/>
      <c r="AB4" s="1346"/>
      <c r="AC4" s="1346"/>
      <c r="AD4" s="1346"/>
      <c r="AE4" s="1346"/>
      <c r="AF4" s="1346"/>
      <c r="AG4" s="1346"/>
      <c r="AH4" s="1352"/>
    </row>
    <row r="5" spans="1:54" s="1149" customFormat="1" ht="15" x14ac:dyDescent="0.3">
      <c r="A5" s="1353"/>
      <c r="B5" s="1387"/>
      <c r="C5" s="583"/>
      <c r="D5" s="1478" t="s">
        <v>713</v>
      </c>
      <c r="E5" s="1486">
        <f>avg_wind_speed</f>
        <v>0</v>
      </c>
      <c r="F5" s="1478" t="s">
        <v>630</v>
      </c>
      <c r="G5" s="1487">
        <f>P_level</f>
        <v>0</v>
      </c>
      <c r="H5" s="1479" t="s">
        <v>737</v>
      </c>
      <c r="I5" s="1487">
        <f>Project_WACC_selected</f>
        <v>0</v>
      </c>
      <c r="J5" s="1479" t="s">
        <v>1031</v>
      </c>
      <c r="K5" s="1518">
        <f>IF(greenfield,1,0)</f>
        <v>1</v>
      </c>
      <c r="L5" s="1367" t="s">
        <v>904</v>
      </c>
      <c r="M5" s="1149">
        <f ca="1">Performance!C3</f>
        <v>12</v>
      </c>
      <c r="N5" s="1347" t="s">
        <v>905</v>
      </c>
      <c r="O5" s="1376">
        <f ca="1">Performance!$C$8</f>
        <v>15.539326163190678</v>
      </c>
      <c r="P5" s="1362" t="s">
        <v>1051</v>
      </c>
      <c r="Q5" s="1379">
        <f ca="1">LCOE</f>
        <v>97.766902413760249</v>
      </c>
      <c r="R5" s="1360" t="s">
        <v>1049</v>
      </c>
      <c r="AH5" s="1354"/>
    </row>
    <row r="6" spans="1:54" s="1149" customFormat="1" ht="15" x14ac:dyDescent="0.3">
      <c r="A6" s="1353"/>
      <c r="B6" s="1387"/>
      <c r="C6" s="583"/>
      <c r="D6" s="1478" t="s">
        <v>481</v>
      </c>
      <c r="E6" s="1488">
        <f>quantity</f>
        <v>0</v>
      </c>
      <c r="F6" s="1478" t="s">
        <v>629</v>
      </c>
      <c r="G6" s="1487">
        <f>Tp_level</f>
        <v>0</v>
      </c>
      <c r="H6" s="1479" t="s">
        <v>742</v>
      </c>
      <c r="I6" s="1487">
        <f>AWES_margin_selected</f>
        <v>0</v>
      </c>
      <c r="J6" s="1479" t="s">
        <v>1032</v>
      </c>
      <c r="K6" s="1518">
        <f>IF(offshore,1,0)</f>
        <v>0</v>
      </c>
      <c r="L6" s="1366" t="s">
        <v>65</v>
      </c>
      <c r="M6" s="1374">
        <f ca="1">Tmax_p</f>
        <v>42.000000000000007</v>
      </c>
      <c r="N6" s="1361" t="s">
        <v>910</v>
      </c>
      <c r="O6" s="1377">
        <f ca="1">Scenarios!D22</f>
        <v>12.5</v>
      </c>
      <c r="P6" s="1362" t="s">
        <v>1052</v>
      </c>
      <c r="Q6" s="1363">
        <f ca="1">'LCOE analysis'!D19</f>
        <v>0.40220801713922949</v>
      </c>
      <c r="R6" s="1358" t="s">
        <v>1050</v>
      </c>
      <c r="AH6" s="1354"/>
    </row>
    <row r="7" spans="1:54" s="1149" customFormat="1" ht="15.75" thickBot="1" x14ac:dyDescent="0.35">
      <c r="A7" s="1355"/>
      <c r="B7" s="1389"/>
      <c r="C7" s="1356"/>
      <c r="D7" s="1481" t="s">
        <v>625</v>
      </c>
      <c r="E7" s="1489">
        <f>AWES_power</f>
        <v>0</v>
      </c>
      <c r="F7" s="1481" t="s">
        <v>635</v>
      </c>
      <c r="G7" s="1490">
        <f>Tt_level</f>
        <v>0</v>
      </c>
      <c r="H7" s="1482" t="s">
        <v>741</v>
      </c>
      <c r="I7" s="1490">
        <f>SP_margin_selected</f>
        <v>0</v>
      </c>
      <c r="J7" s="1482" t="s">
        <v>1033</v>
      </c>
      <c r="K7" s="1519">
        <f>IF(offshore_floating,1,0)</f>
        <v>0</v>
      </c>
      <c r="L7" s="1371" t="s">
        <v>1053</v>
      </c>
      <c r="M7" s="1372">
        <f ca="1">avg_speed</f>
        <v>10.563903252812876</v>
      </c>
      <c r="N7" s="1348" t="s">
        <v>984</v>
      </c>
      <c r="O7" s="1378">
        <f ca="1">Scenarios!D24</f>
        <v>0.28000000000000003</v>
      </c>
      <c r="P7" s="1364" t="s">
        <v>621</v>
      </c>
      <c r="Q7" s="1380">
        <f ca="1">'LCOE analysis'!D18</f>
        <v>15.865899652091185</v>
      </c>
      <c r="R7" s="1359"/>
      <c r="S7" s="1357"/>
      <c r="T7" s="1357"/>
      <c r="U7" s="1357"/>
      <c r="V7" s="1357"/>
      <c r="W7" s="1357"/>
      <c r="X7" s="1357"/>
      <c r="Y7" s="1357"/>
      <c r="Z7" s="1357"/>
      <c r="AA7" s="1357"/>
      <c r="AB7" s="1357"/>
      <c r="AC7" s="1357"/>
      <c r="AD7" s="1357"/>
      <c r="AE7" s="1357"/>
      <c r="AF7" s="1357"/>
      <c r="AG7" s="1357"/>
      <c r="AH7" s="1349"/>
    </row>
    <row r="8" spans="1:54" ht="22.15" customHeight="1" thickBot="1" x14ac:dyDescent="0.35">
      <c r="A8" s="510"/>
      <c r="B8" s="1145"/>
      <c r="C8" s="139"/>
      <c r="D8" s="139"/>
      <c r="E8" s="139"/>
      <c r="G8" s="1134"/>
      <c r="I8" s="513"/>
      <c r="J8" s="513"/>
      <c r="K8" s="513"/>
      <c r="L8" s="513"/>
      <c r="M8" s="513"/>
      <c r="N8" s="513"/>
      <c r="O8" s="513"/>
      <c r="P8" s="1381"/>
      <c r="Q8" s="1382"/>
      <c r="T8" s="513"/>
      <c r="AB8" s="511"/>
      <c r="AC8" s="511"/>
      <c r="AD8" s="511"/>
      <c r="AE8" s="511"/>
      <c r="AF8" s="511"/>
      <c r="AG8" s="511"/>
      <c r="AH8" s="511"/>
      <c r="AI8" s="511"/>
      <c r="AJ8" s="511"/>
      <c r="AK8" s="511"/>
    </row>
    <row r="9" spans="1:54" ht="22.15" customHeight="1" x14ac:dyDescent="0.3">
      <c r="A9" s="639"/>
      <c r="B9" s="515" t="s">
        <v>679</v>
      </c>
      <c r="C9" s="515"/>
      <c r="D9" s="515"/>
      <c r="E9" s="515"/>
      <c r="F9" s="518"/>
      <c r="H9" s="515" t="s">
        <v>680</v>
      </c>
      <c r="I9" s="518"/>
      <c r="J9" s="516"/>
      <c r="K9" s="516"/>
      <c r="L9" s="516"/>
      <c r="M9" s="516"/>
      <c r="O9" s="517" t="s">
        <v>678</v>
      </c>
      <c r="P9" s="518"/>
      <c r="Q9" s="518"/>
      <c r="R9" s="515"/>
      <c r="S9" s="1432"/>
      <c r="W9" s="1113" t="s">
        <v>967</v>
      </c>
      <c r="X9" s="1114"/>
      <c r="Y9" s="1114"/>
      <c r="Z9" s="1115"/>
      <c r="AB9" s="511"/>
      <c r="AC9" s="511"/>
      <c r="AD9" s="511"/>
      <c r="AE9" s="511"/>
      <c r="AF9" s="511"/>
      <c r="AG9" s="511"/>
      <c r="AH9" s="511"/>
      <c r="AI9" s="511"/>
      <c r="AJ9" s="511"/>
      <c r="AK9" s="511"/>
      <c r="AL9" s="1436" t="str">
        <f>Y_axis&amp;", "&amp;AC33</f>
        <v>Power, % of base power</v>
      </c>
      <c r="AM9" s="1320"/>
    </row>
    <row r="10" spans="1:54" ht="22.15" customHeight="1" x14ac:dyDescent="0.3">
      <c r="A10" s="1301"/>
      <c r="B10" s="1302" t="str">
        <f>indicator</f>
        <v>LCOE (with margin), €/MWh</v>
      </c>
      <c r="C10" s="1303" t="str">
        <f>B10</f>
        <v>LCOE (with margin), €/MWh</v>
      </c>
      <c r="D10" s="1304"/>
      <c r="E10" s="1305"/>
      <c r="F10" s="1305"/>
      <c r="G10" s="1306"/>
      <c r="H10" s="1431"/>
      <c r="I10" s="1431"/>
      <c r="J10" s="1431"/>
      <c r="K10" s="1431"/>
      <c r="L10" s="1431"/>
      <c r="M10" s="1431"/>
      <c r="N10" s="1431"/>
      <c r="O10" s="1431"/>
      <c r="P10" s="1431"/>
      <c r="Q10" s="1431"/>
      <c r="R10" s="1913" t="str">
        <f>X_axis&amp;", "&amp;AC32</f>
        <v>Wing area, m2</v>
      </c>
      <c r="W10" s="1110" t="s">
        <v>294</v>
      </c>
      <c r="X10" s="512" t="s">
        <v>439</v>
      </c>
      <c r="Z10" s="1434"/>
      <c r="AB10" s="511"/>
      <c r="AC10" s="511"/>
      <c r="AD10" s="511"/>
      <c r="AE10" s="511"/>
      <c r="AF10" s="511"/>
      <c r="AG10" s="511"/>
      <c r="AH10" s="511"/>
      <c r="AI10" s="511"/>
      <c r="AJ10" s="511"/>
      <c r="AK10" s="511"/>
    </row>
    <row r="11" spans="1:54" ht="22.15" customHeight="1" x14ac:dyDescent="0.3">
      <c r="A11" s="639"/>
      <c r="B11" s="1307"/>
      <c r="C11" s="561"/>
      <c r="D11" s="562">
        <f ca="1">IFERROR(indicator_value,0)</f>
        <v>97.766902413760249</v>
      </c>
      <c r="E11" s="1834">
        <f t="array" aca="1" ref="E11" ca="1">INDEX(INDIRECT($AB$32),E$1+1,0)</f>
        <v>12</v>
      </c>
      <c r="F11" s="1834">
        <f t="array" aca="1" ref="F11" ca="1">INDEX(INDIRECT($AB$32),F$1+1,0)</f>
        <v>25</v>
      </c>
      <c r="G11" s="1834">
        <f t="array" aca="1" ref="G11" ca="1">INDEX(INDIRECT($AB$32),G$1+1,0)</f>
        <v>35</v>
      </c>
      <c r="H11" s="1834">
        <f t="array" aca="1" ref="H11" ca="1">INDEX(INDIRECT($AB$32),H$1+1,0)</f>
        <v>50</v>
      </c>
      <c r="I11" s="1834">
        <f t="array" aca="1" ref="I11" ca="1">INDEX(INDIRECT($AB$32),I$1+1,0)</f>
        <v>60</v>
      </c>
      <c r="J11" s="1834">
        <f t="array" aca="1" ref="J11" ca="1">INDEX(INDIRECT($AB$32),J$1+1,0)</f>
        <v>70</v>
      </c>
      <c r="K11" s="1834">
        <f t="array" aca="1" ref="K11" ca="1">INDEX(INDIRECT($AB$32),K$1+1,0)</f>
        <v>80</v>
      </c>
      <c r="L11" s="1834">
        <f t="array" aca="1" ref="L11" ca="1">INDEX(INDIRECT($AB$32),L$1+1,0)</f>
        <v>90</v>
      </c>
      <c r="M11" s="1834">
        <f t="array" aca="1" ref="M11" ca="1">INDEX(INDIRECT($AB$32),M$1+1,0)</f>
        <v>125</v>
      </c>
      <c r="N11" s="1834">
        <f t="array" aca="1" ref="N11" ca="1">INDEX(INDIRECT($AB$32),N$1+1,0)</f>
        <v>150</v>
      </c>
      <c r="O11" s="1834">
        <f t="array" aca="1" ref="O11" ca="1">INDEX(INDIRECT($AB$32),O$1+1,0)</f>
        <v>200</v>
      </c>
      <c r="P11" s="1834">
        <f t="array" aca="1" ref="P11" ca="1">INDEX(INDIRECT($AB$32),P$1+1,0)</f>
        <v>250</v>
      </c>
      <c r="Q11" s="1834">
        <f t="array" aca="1" ref="Q11" ca="1">INDEX(INDIRECT($AB$32),Q$1+1,0)</f>
        <v>300</v>
      </c>
      <c r="R11" s="1834">
        <f t="array" aca="1" ref="R11" ca="1">INDEX(INDIRECT($AB$32),R$1+1,0)</f>
        <v>350</v>
      </c>
      <c r="W11" s="1116">
        <v>50</v>
      </c>
      <c r="X11" s="1160">
        <v>136.15671286614548</v>
      </c>
      <c r="Z11" s="1111" t="s">
        <v>880</v>
      </c>
    </row>
    <row r="12" spans="1:54" ht="22.15" customHeight="1" thickBot="1" x14ac:dyDescent="0.35">
      <c r="A12" s="639">
        <v>1</v>
      </c>
      <c r="B12" s="1989" t="str">
        <f>AL9</f>
        <v>Power, % of base power</v>
      </c>
      <c r="C12" s="563"/>
      <c r="D12" s="1834">
        <f t="array" aca="1" ref="D12" ca="1">INDEX(INDIRECT($AB$33),$A12+1,0)</f>
        <v>0.5</v>
      </c>
      <c r="E12" s="1836">
        <f t="dataTable" ref="E12:R25" dt2D="1" dtr="1" r1="W32" r2="W33" ca="1"/>
        <v>112.30271719244782</v>
      </c>
      <c r="F12" s="1836">
        <v>74.296557985889734</v>
      </c>
      <c r="G12" s="1836">
        <v>64.5297536584158</v>
      </c>
      <c r="H12" s="1836">
        <v>57.627882488089448</v>
      </c>
      <c r="I12" s="1836">
        <v>54.590734005020167</v>
      </c>
      <c r="J12" s="1836">
        <v>53.051407979974059</v>
      </c>
      <c r="K12" s="1836">
        <v>52.074978953764898</v>
      </c>
      <c r="L12" s="1836">
        <v>51.460404183857321</v>
      </c>
      <c r="M12" s="1836">
        <v>50.629393420710585</v>
      </c>
      <c r="N12" s="1836">
        <v>51.075114933387674</v>
      </c>
      <c r="O12" s="1836">
        <v>53.872580569935678</v>
      </c>
      <c r="P12" s="1836">
        <v>57.91538030483931</v>
      </c>
      <c r="Q12" s="1836">
        <v>63.277609780969343</v>
      </c>
      <c r="R12" s="1836">
        <v>69.780419587187339</v>
      </c>
      <c r="W12" s="1117">
        <v>15000</v>
      </c>
      <c r="X12" s="1161">
        <v>16.465352608874309</v>
      </c>
      <c r="Y12" s="1112"/>
      <c r="Z12" s="1433">
        <f>10^((LOG(X11/X12)/LOG(W11/W12)))</f>
        <v>0.42620966054743858</v>
      </c>
    </row>
    <row r="13" spans="1:54" ht="22.15" customHeight="1" x14ac:dyDescent="0.3">
      <c r="A13" s="639">
        <v>2</v>
      </c>
      <c r="B13" s="1989"/>
      <c r="C13" s="564" t="str">
        <f>B12</f>
        <v>Power, % of base power</v>
      </c>
      <c r="D13" s="1834">
        <f t="array" aca="1" ref="D13" ca="1">INDEX(INDIRECT($AB$33),$A13+1,0)</f>
        <v>0.6</v>
      </c>
      <c r="E13" s="1836">
        <v>103.10433388901532</v>
      </c>
      <c r="F13" s="1836">
        <v>69.261672896129241</v>
      </c>
      <c r="G13" s="1836">
        <v>60.162188763782105</v>
      </c>
      <c r="H13" s="1836">
        <v>53.527135258920531</v>
      </c>
      <c r="I13" s="1836">
        <v>50.595344844561986</v>
      </c>
      <c r="J13" s="1836">
        <v>49.130602034678503</v>
      </c>
      <c r="K13" s="1836">
        <v>48.182244234160244</v>
      </c>
      <c r="L13" s="1836">
        <v>47.58279054539269</v>
      </c>
      <c r="M13" s="1836">
        <v>46.642430504724942</v>
      </c>
      <c r="N13" s="1836">
        <v>47.211148772145236</v>
      </c>
      <c r="O13" s="1836">
        <v>49.486793069469222</v>
      </c>
      <c r="P13" s="1836">
        <v>52.886141534407784</v>
      </c>
      <c r="Q13" s="1836">
        <v>57.622258893378067</v>
      </c>
      <c r="R13" s="1836">
        <v>63.711903732683389</v>
      </c>
      <c r="T13" s="520" t="s">
        <v>663</v>
      </c>
      <c r="U13" s="521"/>
      <c r="V13" s="521"/>
      <c r="W13" s="1987" t="s">
        <v>977</v>
      </c>
      <c r="X13" s="1987" t="s">
        <v>790</v>
      </c>
      <c r="Y13" s="521"/>
      <c r="Z13" s="521"/>
      <c r="AA13" s="521"/>
      <c r="AB13" s="521"/>
      <c r="AC13" s="521"/>
      <c r="AE13" s="522"/>
      <c r="AF13" s="522"/>
      <c r="AG13" s="522"/>
      <c r="AH13" s="522"/>
      <c r="AI13" s="522"/>
      <c r="AJ13" s="522"/>
      <c r="AK13" s="522"/>
      <c r="AL13" s="522"/>
      <c r="AM13" s="522"/>
      <c r="AN13" s="522"/>
      <c r="AO13" s="522"/>
      <c r="AP13" s="522"/>
      <c r="AQ13" s="522"/>
      <c r="AR13" s="522"/>
      <c r="AS13" s="522"/>
    </row>
    <row r="14" spans="1:54" ht="22.15" customHeight="1" x14ac:dyDescent="0.35">
      <c r="A14" s="639">
        <v>3</v>
      </c>
      <c r="B14" s="1989"/>
      <c r="C14" s="565"/>
      <c r="D14" s="1834">
        <f t="array" aca="1" ref="D14" ca="1">INDEX(INDIRECT($AB$33),$A14+1,0)</f>
        <v>0.7</v>
      </c>
      <c r="E14" s="1836">
        <v>99.445774975722472</v>
      </c>
      <c r="F14" s="1836">
        <v>65.367733542877161</v>
      </c>
      <c r="G14" s="1836">
        <v>56.754624385188968</v>
      </c>
      <c r="H14" s="1836">
        <v>51.370631469192922</v>
      </c>
      <c r="I14" s="1836">
        <v>49.032663979239068</v>
      </c>
      <c r="J14" s="1836">
        <v>46.858119428366585</v>
      </c>
      <c r="K14" s="1836">
        <v>45.862129343806835</v>
      </c>
      <c r="L14" s="1836">
        <v>45.211060723443815</v>
      </c>
      <c r="M14" s="1836">
        <v>44.790171670002678</v>
      </c>
      <c r="N14" s="1836">
        <v>44.735765087252076</v>
      </c>
      <c r="O14" s="1836">
        <v>46.646257153230785</v>
      </c>
      <c r="P14" s="1836">
        <v>50.046632599032868</v>
      </c>
      <c r="Q14" s="1836">
        <v>54.162212784964687</v>
      </c>
      <c r="R14" s="1836">
        <v>59.677671364423027</v>
      </c>
      <c r="T14" s="524" t="s">
        <v>789</v>
      </c>
      <c r="U14" s="522"/>
      <c r="V14" s="525" t="s">
        <v>665</v>
      </c>
      <c r="W14" s="1988"/>
      <c r="X14" s="1988"/>
      <c r="AE14" s="522"/>
      <c r="AM14" s="523" t="str">
        <f>B10</f>
        <v>LCOE (with margin), €/MWh</v>
      </c>
      <c r="AN14" s="526"/>
      <c r="AO14" s="519"/>
      <c r="AP14" s="519"/>
      <c r="AQ14" s="519"/>
      <c r="AR14" s="526"/>
      <c r="AS14" s="526"/>
      <c r="AT14" s="526"/>
      <c r="AU14" s="527"/>
      <c r="AV14" s="527"/>
      <c r="AW14" s="527"/>
      <c r="AX14" s="527"/>
      <c r="AY14" s="527"/>
      <c r="AZ14" s="527"/>
      <c r="BA14" s="527"/>
      <c r="BB14" s="528"/>
    </row>
    <row r="15" spans="1:54" ht="22.15" customHeight="1" x14ac:dyDescent="0.3">
      <c r="A15" s="639">
        <v>4</v>
      </c>
      <c r="B15" s="1989"/>
      <c r="C15" s="565"/>
      <c r="D15" s="1834">
        <f t="array" aca="1" ref="D15" ca="1">INDEX(INDIRECT($AB$33),$A15+1,0)</f>
        <v>0.8</v>
      </c>
      <c r="E15" s="1836">
        <v>96.808820425801329</v>
      </c>
      <c r="F15" s="1836">
        <v>64.041464566829433</v>
      </c>
      <c r="G15" s="1836">
        <v>55.525944374441849</v>
      </c>
      <c r="H15" s="1836">
        <v>49.385551098733892</v>
      </c>
      <c r="I15" s="1836">
        <v>47.135488300833906</v>
      </c>
      <c r="J15" s="1836">
        <v>45.623278087286231</v>
      </c>
      <c r="K15" s="1836">
        <v>44.581301127849564</v>
      </c>
      <c r="L15" s="1836">
        <v>43.925501097858785</v>
      </c>
      <c r="M15" s="1836">
        <v>42.91374458478753</v>
      </c>
      <c r="N15" s="1836">
        <v>43.257366162236458</v>
      </c>
      <c r="O15" s="1836">
        <v>44.981621911817541</v>
      </c>
      <c r="P15" s="1836">
        <v>48.019906601173304</v>
      </c>
      <c r="Q15" s="1836">
        <v>51.881336114325642</v>
      </c>
      <c r="R15" s="1836">
        <v>57.163220582927977</v>
      </c>
      <c r="T15" s="518"/>
      <c r="U15" s="518"/>
      <c r="V15" s="530" t="s">
        <v>287</v>
      </c>
      <c r="W15" s="1146">
        <f ca="1">wing_area</f>
        <v>12</v>
      </c>
      <c r="X15" s="531">
        <f>IF($AB$32=AC15,X_axis_value,IF(AC15=$AB$33,Y_axis_value,scenario_size))</f>
        <v>0</v>
      </c>
      <c r="Y15" s="532" t="s">
        <v>457</v>
      </c>
      <c r="AA15" s="511" t="s">
        <v>296</v>
      </c>
      <c r="AC15" s="533" t="s">
        <v>477</v>
      </c>
      <c r="AD15" s="534" t="s">
        <v>51</v>
      </c>
      <c r="AE15" s="518"/>
      <c r="AF15" s="518"/>
      <c r="AM15" s="519"/>
      <c r="AN15" s="535"/>
      <c r="AO15" s="536" t="str">
        <f>R10</f>
        <v>Wing area, m2</v>
      </c>
      <c r="AP15" s="537"/>
      <c r="AQ15" s="537"/>
      <c r="AR15" s="537"/>
      <c r="AS15" s="537"/>
      <c r="AT15" s="537"/>
      <c r="AU15" s="537"/>
      <c r="AV15" s="537"/>
      <c r="AW15" s="537"/>
      <c r="AX15" s="537"/>
      <c r="AY15" s="537"/>
      <c r="AZ15" s="537"/>
      <c r="BA15" s="537"/>
      <c r="BB15" s="538"/>
    </row>
    <row r="16" spans="1:54" ht="22.15" customHeight="1" x14ac:dyDescent="0.3">
      <c r="A16" s="639">
        <v>5</v>
      </c>
      <c r="B16" s="1989"/>
      <c r="C16" s="565"/>
      <c r="D16" s="1834">
        <f t="array" aca="1" ref="D16" ca="1">INDEX(INDIRECT($AB$33),$A16+1,0)</f>
        <v>0.9</v>
      </c>
      <c r="E16" s="1836">
        <v>97.471344701176804</v>
      </c>
      <c r="F16" s="1836">
        <v>64.173241927393903</v>
      </c>
      <c r="G16" s="1836">
        <v>55.236655729839626</v>
      </c>
      <c r="H16" s="1836">
        <v>48.986165501167939</v>
      </c>
      <c r="I16" s="1836">
        <v>46.735580108838192</v>
      </c>
      <c r="J16" s="1836">
        <v>45.188391545732117</v>
      </c>
      <c r="K16" s="1836">
        <v>44.138038373176165</v>
      </c>
      <c r="L16" s="1836">
        <v>43.420312563039083</v>
      </c>
      <c r="M16" s="1836">
        <v>42.159553509152303</v>
      </c>
      <c r="N16" s="1836">
        <v>42.582013272033727</v>
      </c>
      <c r="O16" s="1836">
        <v>44.056179815579142</v>
      </c>
      <c r="P16" s="1836">
        <v>46.904815235300589</v>
      </c>
      <c r="Q16" s="1836">
        <v>50.632624905784063</v>
      </c>
      <c r="R16" s="1836">
        <v>55.644092885429899</v>
      </c>
      <c r="T16" s="518"/>
      <c r="U16" s="518"/>
      <c r="V16" s="530" t="s">
        <v>659</v>
      </c>
      <c r="W16" s="1132">
        <f ca="1">Q</f>
        <v>15000</v>
      </c>
      <c r="X16" s="531">
        <f>IF($AB$32=AC16,X_axis_value,IF(AC16=$AB$33,Y_axis_value,quantity))</f>
        <v>0</v>
      </c>
      <c r="Y16" s="532" t="s">
        <v>458</v>
      </c>
      <c r="AA16" s="511" t="s">
        <v>481</v>
      </c>
      <c r="AC16" s="533" t="s">
        <v>479</v>
      </c>
      <c r="AD16" s="516" t="s">
        <v>666</v>
      </c>
      <c r="AE16" s="518"/>
      <c r="AF16" s="518"/>
      <c r="AM16" s="1985" t="str">
        <f>B12</f>
        <v>Power, % of base power</v>
      </c>
      <c r="AN16" s="540">
        <f t="shared" ref="AN16:AN30" ca="1" si="0">D11</f>
        <v>97.766902413760249</v>
      </c>
      <c r="AO16" s="529">
        <f t="shared" ref="AO16:AO30" ca="1" si="1">E11</f>
        <v>12</v>
      </c>
      <c r="AP16" s="529">
        <f t="shared" ref="AP16:AP30" ca="1" si="2">F11</f>
        <v>25</v>
      </c>
      <c r="AQ16" s="529">
        <f t="shared" ref="AQ16:AQ30" ca="1" si="3">G11</f>
        <v>35</v>
      </c>
      <c r="AR16" s="529">
        <f t="shared" ref="AR16:AR30" ca="1" si="4">H11</f>
        <v>50</v>
      </c>
      <c r="AS16" s="529">
        <f t="shared" ref="AS16:AS30" ca="1" si="5">I11</f>
        <v>60</v>
      </c>
      <c r="AT16" s="529">
        <f t="shared" ref="AT16:AT30" ca="1" si="6">J11</f>
        <v>70</v>
      </c>
      <c r="AU16" s="529">
        <f t="shared" ref="AU16:AU30" ca="1" si="7">K11</f>
        <v>80</v>
      </c>
      <c r="AV16" s="529">
        <f t="shared" ref="AV16:AV30" ca="1" si="8">L11</f>
        <v>90</v>
      </c>
      <c r="AW16" s="529">
        <f t="shared" ref="AW16:AW30" ca="1" si="9">M11</f>
        <v>125</v>
      </c>
      <c r="AX16" s="529">
        <f t="shared" ref="AX16:AX30" ca="1" si="10">N11</f>
        <v>150</v>
      </c>
      <c r="AY16" s="529">
        <f t="shared" ref="AY16:AY30" ca="1" si="11">O11</f>
        <v>200</v>
      </c>
      <c r="AZ16" s="529">
        <f t="shared" ref="AZ16:AZ30" ca="1" si="12">P11</f>
        <v>250</v>
      </c>
      <c r="BA16" s="529">
        <f t="shared" ref="BA16:BA30" ca="1" si="13">Q11</f>
        <v>300</v>
      </c>
      <c r="BB16" s="529">
        <f t="shared" ref="BB16:BB30" ca="1" si="14">R11</f>
        <v>350</v>
      </c>
    </row>
    <row r="17" spans="1:54" ht="22.15" customHeight="1" x14ac:dyDescent="0.3">
      <c r="A17" s="639">
        <v>6</v>
      </c>
      <c r="B17" s="1989"/>
      <c r="C17" s="565"/>
      <c r="D17" s="1834">
        <f t="array" aca="1" ref="D17" ca="1">INDEX(INDIRECT($AB$33),$A17+1,0)</f>
        <v>1</v>
      </c>
      <c r="E17" s="1836">
        <v>97.766902413760249</v>
      </c>
      <c r="F17" s="1836">
        <v>63.600492171899738</v>
      </c>
      <c r="G17" s="1836">
        <v>54.736010506289034</v>
      </c>
      <c r="H17" s="1836">
        <v>49.10198543966434</v>
      </c>
      <c r="I17" s="1836">
        <v>46.70268996597904</v>
      </c>
      <c r="J17" s="1836">
        <v>45.188616906360458</v>
      </c>
      <c r="K17" s="1836">
        <v>44.166255985146051</v>
      </c>
      <c r="L17" s="1836">
        <v>43.449868445383103</v>
      </c>
      <c r="M17" s="1836">
        <v>41.870821790067481</v>
      </c>
      <c r="N17" s="1836">
        <v>42.312208550822696</v>
      </c>
      <c r="O17" s="1836">
        <v>43.440386964038069</v>
      </c>
      <c r="P17" s="1836">
        <v>46.194887191435072</v>
      </c>
      <c r="Q17" s="1836">
        <v>50.03948320492195</v>
      </c>
      <c r="R17" s="1836">
        <v>55.045296953773125</v>
      </c>
      <c r="T17" s="518"/>
      <c r="U17" s="518"/>
      <c r="V17" s="530" t="s">
        <v>501</v>
      </c>
      <c r="W17" s="1146">
        <f ca="1">N</f>
        <v>30</v>
      </c>
      <c r="X17" s="531">
        <f>IF($AB$32=AC17,X_axis_value,IF(AC17=$AB$33,Y_axis_value,park_size))</f>
        <v>0</v>
      </c>
      <c r="Y17" s="532" t="s">
        <v>643</v>
      </c>
      <c r="AA17" s="511" t="s">
        <v>603</v>
      </c>
      <c r="AC17" s="533" t="s">
        <v>628</v>
      </c>
      <c r="AD17" s="516" t="s">
        <v>666</v>
      </c>
      <c r="AE17" s="518"/>
      <c r="AF17" s="518"/>
      <c r="AM17" s="1986"/>
      <c r="AN17" s="529">
        <f t="shared" ca="1" si="0"/>
        <v>0.5</v>
      </c>
      <c r="AO17" s="539">
        <f t="shared" si="1"/>
        <v>112.30271719244782</v>
      </c>
      <c r="AP17" s="539">
        <f t="shared" si="2"/>
        <v>74.296557985889734</v>
      </c>
      <c r="AQ17" s="539">
        <f t="shared" si="3"/>
        <v>64.5297536584158</v>
      </c>
      <c r="AR17" s="539">
        <f t="shared" si="4"/>
        <v>57.627882488089448</v>
      </c>
      <c r="AS17" s="539">
        <f t="shared" si="5"/>
        <v>54.590734005020167</v>
      </c>
      <c r="AT17" s="539">
        <f t="shared" si="6"/>
        <v>53.051407979974059</v>
      </c>
      <c r="AU17" s="539">
        <f t="shared" si="7"/>
        <v>52.074978953764898</v>
      </c>
      <c r="AV17" s="539">
        <f t="shared" si="8"/>
        <v>51.460404183857321</v>
      </c>
      <c r="AW17" s="539">
        <f t="shared" si="9"/>
        <v>50.629393420710585</v>
      </c>
      <c r="AX17" s="539">
        <f t="shared" si="10"/>
        <v>51.075114933387674</v>
      </c>
      <c r="AY17" s="539">
        <f t="shared" si="11"/>
        <v>53.872580569935678</v>
      </c>
      <c r="AZ17" s="539">
        <f t="shared" si="12"/>
        <v>57.91538030483931</v>
      </c>
      <c r="BA17" s="539">
        <f t="shared" si="13"/>
        <v>63.277609780969343</v>
      </c>
      <c r="BB17" s="539">
        <f t="shared" si="14"/>
        <v>69.780419587187339</v>
      </c>
    </row>
    <row r="18" spans="1:54" ht="22.15" customHeight="1" x14ac:dyDescent="0.3">
      <c r="A18" s="639">
        <v>7</v>
      </c>
      <c r="B18" s="1989"/>
      <c r="C18" s="565"/>
      <c r="D18" s="1834">
        <f t="array" aca="1" ref="D18" ca="1">INDEX(INDIRECT($AB$33),$A18+1,0)</f>
        <v>1.1000000000000001</v>
      </c>
      <c r="E18" s="1836">
        <v>99.416940973818029</v>
      </c>
      <c r="F18" s="1836">
        <v>65.10057522179099</v>
      </c>
      <c r="G18" s="1836">
        <v>55.704966332352591</v>
      </c>
      <c r="H18" s="1836">
        <v>48.929259474215648</v>
      </c>
      <c r="I18" s="1836">
        <v>46.586319618166506</v>
      </c>
      <c r="J18" s="1836">
        <v>45.01711820769728</v>
      </c>
      <c r="K18" s="1836">
        <v>43.873430048609329</v>
      </c>
      <c r="L18" s="1836">
        <v>43.104003131410288</v>
      </c>
      <c r="M18" s="1836">
        <v>42.090599359048099</v>
      </c>
      <c r="N18" s="1836">
        <v>41.933896783661446</v>
      </c>
      <c r="O18" s="1836">
        <v>43.374834851109547</v>
      </c>
      <c r="P18" s="1836">
        <v>46.036773164807563</v>
      </c>
      <c r="Q18" s="1836">
        <v>50.043509361076502</v>
      </c>
      <c r="R18" s="1836">
        <v>54.842986522253156</v>
      </c>
      <c r="T18" s="518"/>
      <c r="U18" s="518"/>
      <c r="V18" s="530" t="s">
        <v>75</v>
      </c>
      <c r="W18" s="1147">
        <f ca="1">Scenarios!D21</f>
        <v>1</v>
      </c>
      <c r="X18" s="542">
        <f>IF($AB$32=AC18,X_axis_value,IF(AC18=$AB$33,Y_axis_value,P_level))</f>
        <v>0</v>
      </c>
      <c r="Y18" s="532" t="s">
        <v>638</v>
      </c>
      <c r="AA18" s="511" t="s">
        <v>630</v>
      </c>
      <c r="AB18" s="532"/>
      <c r="AC18" s="533" t="s">
        <v>632</v>
      </c>
      <c r="AD18" s="516" t="s">
        <v>799</v>
      </c>
      <c r="AE18" s="518"/>
      <c r="AF18" s="518"/>
      <c r="AM18" s="1986"/>
      <c r="AN18" s="529">
        <f t="shared" ca="1" si="0"/>
        <v>0.6</v>
      </c>
      <c r="AO18" s="539">
        <f t="shared" si="1"/>
        <v>103.10433388901532</v>
      </c>
      <c r="AP18" s="539">
        <f t="shared" si="2"/>
        <v>69.261672896129241</v>
      </c>
      <c r="AQ18" s="539">
        <f t="shared" si="3"/>
        <v>60.162188763782105</v>
      </c>
      <c r="AR18" s="539">
        <f t="shared" si="4"/>
        <v>53.527135258920531</v>
      </c>
      <c r="AS18" s="539">
        <f t="shared" si="5"/>
        <v>50.595344844561986</v>
      </c>
      <c r="AT18" s="539">
        <f t="shared" si="6"/>
        <v>49.130602034678503</v>
      </c>
      <c r="AU18" s="539">
        <f t="shared" si="7"/>
        <v>48.182244234160244</v>
      </c>
      <c r="AV18" s="539">
        <f t="shared" si="8"/>
        <v>47.58279054539269</v>
      </c>
      <c r="AW18" s="539">
        <f t="shared" si="9"/>
        <v>46.642430504724942</v>
      </c>
      <c r="AX18" s="539">
        <f t="shared" si="10"/>
        <v>47.211148772145236</v>
      </c>
      <c r="AY18" s="539">
        <f t="shared" si="11"/>
        <v>49.486793069469222</v>
      </c>
      <c r="AZ18" s="539">
        <f t="shared" si="12"/>
        <v>52.886141534407784</v>
      </c>
      <c r="BA18" s="539">
        <f t="shared" si="13"/>
        <v>57.622258893378067</v>
      </c>
      <c r="BB18" s="539">
        <f t="shared" si="14"/>
        <v>63.711903732683389</v>
      </c>
    </row>
    <row r="19" spans="1:54" ht="22.15" customHeight="1" x14ac:dyDescent="0.3">
      <c r="A19" s="639">
        <v>8</v>
      </c>
      <c r="B19" s="1989"/>
      <c r="C19" s="565"/>
      <c r="D19" s="1834">
        <f t="array" aca="1" ref="D19" ca="1">INDEX(INDIRECT($AB$33),$A19+1,0)</f>
        <v>1.2</v>
      </c>
      <c r="E19" s="1836">
        <v>103.13205672375575</v>
      </c>
      <c r="F19" s="1836">
        <v>65.742846869273563</v>
      </c>
      <c r="G19" s="1836">
        <v>57.172354594166997</v>
      </c>
      <c r="H19" s="1836">
        <v>50.045083081248876</v>
      </c>
      <c r="I19" s="1836">
        <v>47.378992534937701</v>
      </c>
      <c r="J19" s="1836">
        <v>45.682446115800616</v>
      </c>
      <c r="K19" s="1836">
        <v>44.561376677908186</v>
      </c>
      <c r="L19" s="1836">
        <v>43.79559615599419</v>
      </c>
      <c r="M19" s="1836">
        <v>42.163566993453983</v>
      </c>
      <c r="N19" s="1836">
        <v>42.314018947167327</v>
      </c>
      <c r="O19" s="1836">
        <v>43.620974860505576</v>
      </c>
      <c r="P19" s="1836">
        <v>46.353745973670769</v>
      </c>
      <c r="Q19" s="1836">
        <v>50.246822508087064</v>
      </c>
      <c r="R19" s="1836">
        <v>55.109146733682131</v>
      </c>
      <c r="T19" s="518"/>
      <c r="U19" s="518"/>
      <c r="V19" s="530" t="s">
        <v>660</v>
      </c>
      <c r="W19" s="1147">
        <f ca="1">Scenarios!D25</f>
        <v>1</v>
      </c>
      <c r="X19" s="542">
        <f>IF($AB$32=AC19,X_axis_value,IF(AC19=$AB$33,Y_axis_value,Tp_level))</f>
        <v>0</v>
      </c>
      <c r="Y19" s="532" t="s">
        <v>639</v>
      </c>
      <c r="AA19" s="511" t="s">
        <v>629</v>
      </c>
      <c r="AB19" s="532"/>
      <c r="AC19" s="533" t="s">
        <v>633</v>
      </c>
      <c r="AD19" s="534" t="s">
        <v>800</v>
      </c>
      <c r="AE19" s="518"/>
      <c r="AF19" s="518"/>
      <c r="AM19" s="1986"/>
      <c r="AN19" s="529">
        <f t="shared" ca="1" si="0"/>
        <v>0.7</v>
      </c>
      <c r="AO19" s="539">
        <f t="shared" si="1"/>
        <v>99.445774975722472</v>
      </c>
      <c r="AP19" s="539">
        <f t="shared" si="2"/>
        <v>65.367733542877161</v>
      </c>
      <c r="AQ19" s="539">
        <f t="shared" si="3"/>
        <v>56.754624385188968</v>
      </c>
      <c r="AR19" s="539">
        <f t="shared" si="4"/>
        <v>51.370631469192922</v>
      </c>
      <c r="AS19" s="539">
        <f t="shared" si="5"/>
        <v>49.032663979239068</v>
      </c>
      <c r="AT19" s="539">
        <f t="shared" si="6"/>
        <v>46.858119428366585</v>
      </c>
      <c r="AU19" s="539">
        <f t="shared" si="7"/>
        <v>45.862129343806835</v>
      </c>
      <c r="AV19" s="539">
        <f t="shared" si="8"/>
        <v>45.211060723443815</v>
      </c>
      <c r="AW19" s="539">
        <f t="shared" si="9"/>
        <v>44.790171670002678</v>
      </c>
      <c r="AX19" s="539">
        <f t="shared" si="10"/>
        <v>44.735765087252076</v>
      </c>
      <c r="AY19" s="539">
        <f t="shared" si="11"/>
        <v>46.646257153230785</v>
      </c>
      <c r="AZ19" s="539">
        <f t="shared" si="12"/>
        <v>50.046632599032868</v>
      </c>
      <c r="BA19" s="539">
        <f t="shared" si="13"/>
        <v>54.162212784964687</v>
      </c>
      <c r="BB19" s="539">
        <f t="shared" si="14"/>
        <v>59.677671364423027</v>
      </c>
    </row>
    <row r="20" spans="1:54" ht="22.15" customHeight="1" x14ac:dyDescent="0.3">
      <c r="A20" s="639">
        <v>9</v>
      </c>
      <c r="B20" s="1989"/>
      <c r="C20" s="565"/>
      <c r="D20" s="1834">
        <f t="array" aca="1" ref="D20" ca="1">INDEX(INDIRECT($AB$33),$A20+1,0)</f>
        <v>1.3</v>
      </c>
      <c r="E20" s="1836">
        <v>106.56284502806226</v>
      </c>
      <c r="F20" s="1836">
        <v>68.195335063219474</v>
      </c>
      <c r="G20" s="1836">
        <v>57.920771468870683</v>
      </c>
      <c r="H20" s="1836">
        <v>50.540308192298816</v>
      </c>
      <c r="I20" s="1836">
        <v>47.919759847935943</v>
      </c>
      <c r="J20" s="1836">
        <v>46.171888305889034</v>
      </c>
      <c r="K20" s="1836">
        <v>44.941999503860366</v>
      </c>
      <c r="L20" s="1836">
        <v>44.089366815969882</v>
      </c>
      <c r="M20" s="1836">
        <v>42.796682701721217</v>
      </c>
      <c r="N20" s="1836">
        <v>42.960334992184364</v>
      </c>
      <c r="O20" s="1836">
        <v>44.356607579387124</v>
      </c>
      <c r="P20" s="1836">
        <v>46.702195615212482</v>
      </c>
      <c r="Q20" s="1836">
        <v>50.656601925971557</v>
      </c>
      <c r="R20" s="1836">
        <v>55.668293753140624</v>
      </c>
      <c r="T20" s="518"/>
      <c r="U20" s="518"/>
      <c r="V20" s="530" t="s">
        <v>412</v>
      </c>
      <c r="W20" s="1146"/>
      <c r="X20" s="542">
        <f>IF($AB$32=AC20,X_axis_value,IF(AC20=$AB$33,Y_axis_value,Tt_level))</f>
        <v>0</v>
      </c>
      <c r="Y20" s="532" t="s">
        <v>640</v>
      </c>
      <c r="AA20" s="511" t="s">
        <v>635</v>
      </c>
      <c r="AB20" s="532"/>
      <c r="AC20" s="533" t="s">
        <v>637</v>
      </c>
      <c r="AD20" s="534" t="s">
        <v>801</v>
      </c>
      <c r="AE20" s="518"/>
      <c r="AF20" s="518"/>
      <c r="AM20" s="1986"/>
      <c r="AN20" s="529">
        <f t="shared" ca="1" si="0"/>
        <v>0.8</v>
      </c>
      <c r="AO20" s="539">
        <f t="shared" si="1"/>
        <v>96.808820425801329</v>
      </c>
      <c r="AP20" s="539">
        <f t="shared" si="2"/>
        <v>64.041464566829433</v>
      </c>
      <c r="AQ20" s="539">
        <f t="shared" si="3"/>
        <v>55.525944374441849</v>
      </c>
      <c r="AR20" s="539">
        <f t="shared" si="4"/>
        <v>49.385551098733892</v>
      </c>
      <c r="AS20" s="539">
        <f t="shared" si="5"/>
        <v>47.135488300833906</v>
      </c>
      <c r="AT20" s="539">
        <f t="shared" si="6"/>
        <v>45.623278087286231</v>
      </c>
      <c r="AU20" s="539">
        <f t="shared" si="7"/>
        <v>44.581301127849564</v>
      </c>
      <c r="AV20" s="539">
        <f t="shared" si="8"/>
        <v>43.925501097858785</v>
      </c>
      <c r="AW20" s="539">
        <f t="shared" si="9"/>
        <v>42.91374458478753</v>
      </c>
      <c r="AX20" s="539">
        <f t="shared" si="10"/>
        <v>43.257366162236458</v>
      </c>
      <c r="AY20" s="539">
        <f t="shared" si="11"/>
        <v>44.981621911817541</v>
      </c>
      <c r="AZ20" s="539">
        <f t="shared" si="12"/>
        <v>48.019906601173304</v>
      </c>
      <c r="BA20" s="539">
        <f t="shared" si="13"/>
        <v>51.881336114325642</v>
      </c>
      <c r="BB20" s="539">
        <f t="shared" si="14"/>
        <v>57.163220582927977</v>
      </c>
    </row>
    <row r="21" spans="1:54" ht="22.15" customHeight="1" x14ac:dyDescent="0.3">
      <c r="A21" s="639">
        <v>10</v>
      </c>
      <c r="B21" s="1989"/>
      <c r="C21" s="565"/>
      <c r="D21" s="1834">
        <f t="array" aca="1" ref="D21" ca="1">INDEX(INDIRECT($AB$33),$A21+1,0)</f>
        <v>1.4</v>
      </c>
      <c r="E21" s="1836">
        <v>110.82862252748019</v>
      </c>
      <c r="F21" s="1836">
        <v>69.818531779481376</v>
      </c>
      <c r="G21" s="1836">
        <v>60.109085534484961</v>
      </c>
      <c r="H21" s="1836">
        <v>52.238549357631221</v>
      </c>
      <c r="I21" s="1836">
        <v>49.30734201210683</v>
      </c>
      <c r="J21" s="1836">
        <v>47.328526697018368</v>
      </c>
      <c r="K21" s="1836">
        <v>46.076533849438214</v>
      </c>
      <c r="L21" s="1836">
        <v>45.206115715411698</v>
      </c>
      <c r="M21" s="1836">
        <v>43.868437968808983</v>
      </c>
      <c r="N21" s="1836">
        <v>43.479156187206492</v>
      </c>
      <c r="O21" s="1836">
        <v>44.763701842866219</v>
      </c>
      <c r="P21" s="1836">
        <v>47.534340363160737</v>
      </c>
      <c r="Q21" s="1836">
        <v>51.553149184782313</v>
      </c>
      <c r="R21" s="1836">
        <v>56.704823493672876</v>
      </c>
      <c r="T21" s="518"/>
      <c r="U21" s="518"/>
      <c r="V21" s="530" t="s">
        <v>517</v>
      </c>
      <c r="W21" s="1132">
        <f ca="1">Mp</f>
        <v>436.56955251936</v>
      </c>
      <c r="X21" s="531"/>
      <c r="Y21" s="532" t="s">
        <v>459</v>
      </c>
      <c r="AA21" s="511"/>
      <c r="AB21" s="532"/>
      <c r="AC21" s="533"/>
      <c r="AD21" s="516"/>
      <c r="AE21" s="518"/>
      <c r="AF21" s="518"/>
      <c r="AM21" s="1986"/>
      <c r="AN21" s="529">
        <f t="shared" ca="1" si="0"/>
        <v>0.9</v>
      </c>
      <c r="AO21" s="539">
        <f t="shared" si="1"/>
        <v>97.471344701176804</v>
      </c>
      <c r="AP21" s="539">
        <f t="shared" si="2"/>
        <v>64.173241927393903</v>
      </c>
      <c r="AQ21" s="539">
        <f t="shared" si="3"/>
        <v>55.236655729839626</v>
      </c>
      <c r="AR21" s="539">
        <f t="shared" si="4"/>
        <v>48.986165501167939</v>
      </c>
      <c r="AS21" s="539">
        <f t="shared" si="5"/>
        <v>46.735580108838192</v>
      </c>
      <c r="AT21" s="539">
        <f t="shared" si="6"/>
        <v>45.188391545732117</v>
      </c>
      <c r="AU21" s="539">
        <f t="shared" si="7"/>
        <v>44.138038373176165</v>
      </c>
      <c r="AV21" s="539">
        <f t="shared" si="8"/>
        <v>43.420312563039083</v>
      </c>
      <c r="AW21" s="539">
        <f t="shared" si="9"/>
        <v>42.159553509152303</v>
      </c>
      <c r="AX21" s="539">
        <f t="shared" si="10"/>
        <v>42.582013272033727</v>
      </c>
      <c r="AY21" s="539">
        <f t="shared" si="11"/>
        <v>44.056179815579142</v>
      </c>
      <c r="AZ21" s="539">
        <f t="shared" si="12"/>
        <v>46.904815235300589</v>
      </c>
      <c r="BA21" s="539">
        <f t="shared" si="13"/>
        <v>50.632624905784063</v>
      </c>
      <c r="BB21" s="539">
        <f t="shared" si="14"/>
        <v>55.644092885429899</v>
      </c>
    </row>
    <row r="22" spans="1:54" ht="22.15" customHeight="1" x14ac:dyDescent="0.3">
      <c r="A22" s="639">
        <v>11</v>
      </c>
      <c r="B22" s="1989"/>
      <c r="C22" s="565"/>
      <c r="D22" s="1834">
        <f t="array" aca="1" ref="D22" ca="1">INDEX(INDIRECT($AB$33),$A22+1,0)</f>
        <v>1.5</v>
      </c>
      <c r="E22" s="1836">
        <v>116.83651217228379</v>
      </c>
      <c r="F22" s="1836">
        <v>71.937124649699143</v>
      </c>
      <c r="G22" s="1836">
        <v>61.55745576951999</v>
      </c>
      <c r="H22" s="1836">
        <v>53.302133508556928</v>
      </c>
      <c r="I22" s="1836">
        <v>51.049216401907124</v>
      </c>
      <c r="J22" s="1836">
        <v>48.923085275656753</v>
      </c>
      <c r="K22" s="1836">
        <v>47.013323176372019</v>
      </c>
      <c r="L22" s="1836">
        <v>46.045050190052727</v>
      </c>
      <c r="M22" s="1836">
        <v>44.48820590918082</v>
      </c>
      <c r="N22" s="1836">
        <v>44.559396092360203</v>
      </c>
      <c r="O22" s="1836">
        <v>45.883242380876098</v>
      </c>
      <c r="P22" s="1836">
        <v>48.394392514683254</v>
      </c>
      <c r="Q22" s="1836">
        <v>52.527238369835395</v>
      </c>
      <c r="R22" s="1836">
        <v>57.896261178139447</v>
      </c>
      <c r="T22" s="518"/>
      <c r="U22" s="518"/>
      <c r="V22" s="530" t="s">
        <v>1675</v>
      </c>
      <c r="W22" s="1148">
        <f ca="1">ref_speed</f>
        <v>9</v>
      </c>
      <c r="X22" s="541">
        <f>IF($AB$32=AC22,X_axis_value,IF(AC22=$AB$33,Y_axis_value,avg_wind_speed))</f>
        <v>0</v>
      </c>
      <c r="Y22" s="532" t="s">
        <v>1679</v>
      </c>
      <c r="AA22" s="511" t="s">
        <v>1680</v>
      </c>
      <c r="AB22" s="532"/>
      <c r="AC22" s="533" t="s">
        <v>1681</v>
      </c>
      <c r="AD22" s="516" t="s">
        <v>48</v>
      </c>
      <c r="AE22" s="518"/>
      <c r="AF22" s="518"/>
      <c r="AM22" s="1986"/>
      <c r="AN22" s="529">
        <f t="shared" ca="1" si="0"/>
        <v>1</v>
      </c>
      <c r="AO22" s="539">
        <f t="shared" si="1"/>
        <v>97.766902413760249</v>
      </c>
      <c r="AP22" s="539">
        <f t="shared" si="2"/>
        <v>63.600492171899738</v>
      </c>
      <c r="AQ22" s="539">
        <f t="shared" si="3"/>
        <v>54.736010506289034</v>
      </c>
      <c r="AR22" s="539">
        <f t="shared" si="4"/>
        <v>49.10198543966434</v>
      </c>
      <c r="AS22" s="539">
        <f t="shared" si="5"/>
        <v>46.70268996597904</v>
      </c>
      <c r="AT22" s="539">
        <f t="shared" si="6"/>
        <v>45.188616906360458</v>
      </c>
      <c r="AU22" s="539">
        <f t="shared" si="7"/>
        <v>44.166255985146051</v>
      </c>
      <c r="AV22" s="539">
        <f t="shared" si="8"/>
        <v>43.449868445383103</v>
      </c>
      <c r="AW22" s="539">
        <f t="shared" si="9"/>
        <v>41.870821790067481</v>
      </c>
      <c r="AX22" s="539">
        <f t="shared" si="10"/>
        <v>42.312208550822696</v>
      </c>
      <c r="AY22" s="539">
        <f t="shared" si="11"/>
        <v>43.440386964038069</v>
      </c>
      <c r="AZ22" s="539">
        <f t="shared" si="12"/>
        <v>46.194887191435072</v>
      </c>
      <c r="BA22" s="539">
        <f t="shared" si="13"/>
        <v>50.03948320492195</v>
      </c>
      <c r="BB22" s="539">
        <f t="shared" si="14"/>
        <v>55.045296953773125</v>
      </c>
    </row>
    <row r="23" spans="1:54" ht="22.15" customHeight="1" x14ac:dyDescent="0.3">
      <c r="A23" s="639">
        <v>12</v>
      </c>
      <c r="B23" s="1989"/>
      <c r="C23" s="565"/>
      <c r="D23" s="1834">
        <f t="array" aca="1" ref="D23" ca="1">INDEX(INDIRECT($AB$33),$A23+1,0)</f>
        <v>1.6</v>
      </c>
      <c r="E23" s="1836">
        <v>122.76662314307141</v>
      </c>
      <c r="F23" s="1836">
        <v>75.632397709812338</v>
      </c>
      <c r="G23" s="1836">
        <v>64.318414290580748</v>
      </c>
      <c r="H23" s="1836">
        <v>55.509391146128124</v>
      </c>
      <c r="I23" s="1836">
        <v>52.224128074890864</v>
      </c>
      <c r="J23" s="1836">
        <v>49.962341101546002</v>
      </c>
      <c r="K23" s="1836">
        <v>48.503713633004061</v>
      </c>
      <c r="L23" s="1836">
        <v>47.514433316358677</v>
      </c>
      <c r="M23" s="1836">
        <v>45.914263539669648</v>
      </c>
      <c r="N23" s="1836">
        <v>45.488823773564498</v>
      </c>
      <c r="O23" s="1836">
        <v>46.763986818661429</v>
      </c>
      <c r="P23" s="1836">
        <v>49.612899279517144</v>
      </c>
      <c r="Q23" s="1836">
        <v>53.858002365241283</v>
      </c>
      <c r="R23" s="1836">
        <v>59.431637881794025</v>
      </c>
      <c r="T23" s="518"/>
      <c r="U23" s="518"/>
      <c r="V23" s="530" t="s">
        <v>868</v>
      </c>
      <c r="W23" s="1146">
        <f ca="1">horizon</f>
        <v>25</v>
      </c>
      <c r="X23" s="541">
        <f>IF($AB$32=AC23,X_axis_value,IF(AC23=$AB$33,Y_axis_value,Horizon_selected))</f>
        <v>0</v>
      </c>
      <c r="Y23" s="532" t="s">
        <v>869</v>
      </c>
      <c r="AA23" s="511" t="s">
        <v>397</v>
      </c>
      <c r="AB23" s="532"/>
      <c r="AC23" s="533" t="s">
        <v>397</v>
      </c>
      <c r="AD23" s="516" t="s">
        <v>779</v>
      </c>
      <c r="AE23" s="518"/>
      <c r="AF23" s="518"/>
      <c r="AM23" s="1986"/>
      <c r="AN23" s="529">
        <f t="shared" ca="1" si="0"/>
        <v>1.1000000000000001</v>
      </c>
      <c r="AO23" s="539">
        <f t="shared" si="1"/>
        <v>99.416940973818029</v>
      </c>
      <c r="AP23" s="539">
        <f t="shared" si="2"/>
        <v>65.10057522179099</v>
      </c>
      <c r="AQ23" s="539">
        <f t="shared" si="3"/>
        <v>55.704966332352591</v>
      </c>
      <c r="AR23" s="539">
        <f t="shared" si="4"/>
        <v>48.929259474215648</v>
      </c>
      <c r="AS23" s="539">
        <f t="shared" si="5"/>
        <v>46.586319618166506</v>
      </c>
      <c r="AT23" s="539">
        <f t="shared" si="6"/>
        <v>45.01711820769728</v>
      </c>
      <c r="AU23" s="539">
        <f t="shared" si="7"/>
        <v>43.873430048609329</v>
      </c>
      <c r="AV23" s="539">
        <f t="shared" si="8"/>
        <v>43.104003131410288</v>
      </c>
      <c r="AW23" s="539">
        <f t="shared" si="9"/>
        <v>42.090599359048099</v>
      </c>
      <c r="AX23" s="539">
        <f t="shared" si="10"/>
        <v>41.933896783661446</v>
      </c>
      <c r="AY23" s="539">
        <f t="shared" si="11"/>
        <v>43.374834851109547</v>
      </c>
      <c r="AZ23" s="539">
        <f t="shared" si="12"/>
        <v>46.036773164807563</v>
      </c>
      <c r="BA23" s="539">
        <f t="shared" si="13"/>
        <v>50.043509361076502</v>
      </c>
      <c r="BB23" s="539">
        <f t="shared" si="14"/>
        <v>54.842986522253156</v>
      </c>
    </row>
    <row r="24" spans="1:54" ht="22.15" customHeight="1" x14ac:dyDescent="0.3">
      <c r="A24" s="639">
        <v>13</v>
      </c>
      <c r="B24" s="1989"/>
      <c r="C24" s="565"/>
      <c r="D24" s="1834">
        <f t="array" aca="1" ref="D24" ca="1">INDEX(INDIRECT($AB$33),$A24+1,0)</f>
        <v>1.8</v>
      </c>
      <c r="E24" s="1836">
        <v>137.05612287841581</v>
      </c>
      <c r="F24" s="1836">
        <v>82.038879424541477</v>
      </c>
      <c r="G24" s="1836">
        <v>68.924109046224487</v>
      </c>
      <c r="H24" s="1836">
        <v>59.800136413830103</v>
      </c>
      <c r="I24" s="1836">
        <v>56.053366458706364</v>
      </c>
      <c r="J24" s="1836">
        <v>53.499378463770157</v>
      </c>
      <c r="K24" s="1836">
        <v>51.744138045860723</v>
      </c>
      <c r="L24" s="1836">
        <v>50.609759390425118</v>
      </c>
      <c r="M24" s="1836">
        <v>48.723958971112204</v>
      </c>
      <c r="N24" s="1836">
        <v>48.267366808904121</v>
      </c>
      <c r="O24" s="1836">
        <v>49.557619118126212</v>
      </c>
      <c r="P24" s="1836">
        <v>52.57535515359848</v>
      </c>
      <c r="Q24" s="1836">
        <v>57.084092771891321</v>
      </c>
      <c r="R24" s="1836">
        <v>63.134400594035711</v>
      </c>
      <c r="T24" s="518"/>
      <c r="U24" s="518"/>
      <c r="V24" s="530" t="s">
        <v>735</v>
      </c>
      <c r="W24" s="1147">
        <f ca="1">WACC</f>
        <v>0.15</v>
      </c>
      <c r="X24" s="542">
        <f>IF($AB$32=AC24,X_axis_value,IF(AC24=$AB$33,Y_axis_value,Ampyx_WACC_selected))</f>
        <v>0</v>
      </c>
      <c r="Y24" s="532" t="s">
        <v>752</v>
      </c>
      <c r="AA24" s="511"/>
      <c r="AB24" s="532"/>
      <c r="AC24" s="533" t="s">
        <v>758</v>
      </c>
      <c r="AD24" s="516" t="s">
        <v>415</v>
      </c>
      <c r="AE24" s="518"/>
      <c r="AF24" s="518"/>
      <c r="AM24" s="1986"/>
      <c r="AN24" s="529">
        <f t="shared" ca="1" si="0"/>
        <v>1.2</v>
      </c>
      <c r="AO24" s="539">
        <f t="shared" si="1"/>
        <v>103.13205672375575</v>
      </c>
      <c r="AP24" s="539">
        <f t="shared" si="2"/>
        <v>65.742846869273563</v>
      </c>
      <c r="AQ24" s="539">
        <f t="shared" si="3"/>
        <v>57.172354594166997</v>
      </c>
      <c r="AR24" s="539">
        <f t="shared" si="4"/>
        <v>50.045083081248876</v>
      </c>
      <c r="AS24" s="539">
        <f t="shared" si="5"/>
        <v>47.378992534937701</v>
      </c>
      <c r="AT24" s="539">
        <f t="shared" si="6"/>
        <v>45.682446115800616</v>
      </c>
      <c r="AU24" s="539">
        <f t="shared" si="7"/>
        <v>44.561376677908186</v>
      </c>
      <c r="AV24" s="539">
        <f t="shared" si="8"/>
        <v>43.79559615599419</v>
      </c>
      <c r="AW24" s="539">
        <f t="shared" si="9"/>
        <v>42.163566993453983</v>
      </c>
      <c r="AX24" s="539">
        <f t="shared" si="10"/>
        <v>42.314018947167327</v>
      </c>
      <c r="AY24" s="539">
        <f t="shared" si="11"/>
        <v>43.620974860505576</v>
      </c>
      <c r="AZ24" s="539">
        <f t="shared" si="12"/>
        <v>46.353745973670769</v>
      </c>
      <c r="BA24" s="539">
        <f t="shared" si="13"/>
        <v>50.246822508087064</v>
      </c>
      <c r="BB24" s="539">
        <f t="shared" si="14"/>
        <v>55.109146733682131</v>
      </c>
    </row>
    <row r="25" spans="1:54" ht="22.15" customHeight="1" x14ac:dyDescent="0.3">
      <c r="A25" s="639">
        <v>14</v>
      </c>
      <c r="B25" s="1989"/>
      <c r="C25" s="565"/>
      <c r="D25" s="1834">
        <f t="array" aca="1" ref="D25" ca="1">INDEX(INDIRECT($AB$33),$A25+1,0)</f>
        <v>2</v>
      </c>
      <c r="E25" s="1836">
        <v>154.65183659232841</v>
      </c>
      <c r="F25" s="1836">
        <v>90.888610074578722</v>
      </c>
      <c r="G25" s="1836">
        <v>75.699481027608314</v>
      </c>
      <c r="H25" s="1836">
        <v>65.023736840245519</v>
      </c>
      <c r="I25" s="1836">
        <v>60.749801375126431</v>
      </c>
      <c r="J25" s="1836">
        <v>57.850861599659808</v>
      </c>
      <c r="K25" s="1836">
        <v>55.811820703804955</v>
      </c>
      <c r="L25" s="1836">
        <v>54.490882571105615</v>
      </c>
      <c r="M25" s="1836">
        <v>52.238852053086568</v>
      </c>
      <c r="N25" s="1836">
        <v>51.718114769260353</v>
      </c>
      <c r="O25" s="1836">
        <v>53.04345425621058</v>
      </c>
      <c r="P25" s="1836">
        <v>56.3036715613406</v>
      </c>
      <c r="Q25" s="1836">
        <v>61.128305860701907</v>
      </c>
      <c r="R25" s="1836">
        <v>67.846854006761092</v>
      </c>
      <c r="T25" s="518"/>
      <c r="U25" s="518"/>
      <c r="V25" s="530" t="s">
        <v>736</v>
      </c>
      <c r="W25" s="1147">
        <f ca="1">Project_WACC</f>
        <v>0.1</v>
      </c>
      <c r="X25" s="542">
        <f>IF($AB$32=AC25,X_axis_value,IF(AC25=$AB$33,Y_axis_value,Project_WACC_selected))</f>
        <v>0</v>
      </c>
      <c r="Y25" s="532" t="s">
        <v>753</v>
      </c>
      <c r="AA25" s="511"/>
      <c r="AB25" s="532"/>
      <c r="AC25" s="533" t="s">
        <v>759</v>
      </c>
      <c r="AD25" s="516" t="s">
        <v>415</v>
      </c>
      <c r="AE25" s="518"/>
      <c r="AF25" s="518"/>
      <c r="AM25" s="1986"/>
      <c r="AN25" s="529">
        <f t="shared" ca="1" si="0"/>
        <v>1.3</v>
      </c>
      <c r="AO25" s="539">
        <f t="shared" si="1"/>
        <v>106.56284502806226</v>
      </c>
      <c r="AP25" s="539">
        <f t="shared" si="2"/>
        <v>68.195335063219474</v>
      </c>
      <c r="AQ25" s="539">
        <f t="shared" si="3"/>
        <v>57.920771468870683</v>
      </c>
      <c r="AR25" s="539">
        <f t="shared" si="4"/>
        <v>50.540308192298816</v>
      </c>
      <c r="AS25" s="539">
        <f t="shared" si="5"/>
        <v>47.919759847935943</v>
      </c>
      <c r="AT25" s="539">
        <f t="shared" si="6"/>
        <v>46.171888305889034</v>
      </c>
      <c r="AU25" s="539">
        <f t="shared" si="7"/>
        <v>44.941999503860366</v>
      </c>
      <c r="AV25" s="539">
        <f t="shared" si="8"/>
        <v>44.089366815969882</v>
      </c>
      <c r="AW25" s="539">
        <f t="shared" si="9"/>
        <v>42.796682701721217</v>
      </c>
      <c r="AX25" s="539">
        <f t="shared" si="10"/>
        <v>42.960334992184364</v>
      </c>
      <c r="AY25" s="539">
        <f t="shared" si="11"/>
        <v>44.356607579387124</v>
      </c>
      <c r="AZ25" s="539">
        <f t="shared" si="12"/>
        <v>46.702195615212482</v>
      </c>
      <c r="BA25" s="539">
        <f t="shared" si="13"/>
        <v>50.656601925971557</v>
      </c>
      <c r="BB25" s="539">
        <f t="shared" si="14"/>
        <v>55.668293753140624</v>
      </c>
    </row>
    <row r="26" spans="1:54" ht="22.15" customHeight="1" x14ac:dyDescent="0.3">
      <c r="A26" s="639"/>
      <c r="D26" s="1118"/>
      <c r="E26" s="511"/>
      <c r="J26" s="671"/>
      <c r="T26" s="518"/>
      <c r="U26" s="518"/>
      <c r="V26" s="530" t="s">
        <v>770</v>
      </c>
      <c r="W26" s="1147">
        <f ca="1">AWES_margin</f>
        <v>0.1</v>
      </c>
      <c r="X26" s="542">
        <f>IF($AB$32=AC26,X_axis_value,IF(AC26=$AB$33,Y_axis_value,AWES_margin_selected))</f>
        <v>0</v>
      </c>
      <c r="Y26" s="532" t="s">
        <v>772</v>
      </c>
      <c r="AA26" s="511"/>
      <c r="AB26" s="532"/>
      <c r="AC26" s="533" t="s">
        <v>776</v>
      </c>
      <c r="AD26" s="534" t="s">
        <v>415</v>
      </c>
      <c r="AE26" s="614"/>
      <c r="AF26" s="518"/>
      <c r="AM26" s="1986"/>
      <c r="AN26" s="529">
        <f t="shared" ca="1" si="0"/>
        <v>1.4</v>
      </c>
      <c r="AO26" s="539">
        <f t="shared" si="1"/>
        <v>110.82862252748019</v>
      </c>
      <c r="AP26" s="539">
        <f t="shared" si="2"/>
        <v>69.818531779481376</v>
      </c>
      <c r="AQ26" s="539">
        <f t="shared" si="3"/>
        <v>60.109085534484961</v>
      </c>
      <c r="AR26" s="539">
        <f t="shared" si="4"/>
        <v>52.238549357631221</v>
      </c>
      <c r="AS26" s="539">
        <f t="shared" si="5"/>
        <v>49.30734201210683</v>
      </c>
      <c r="AT26" s="539">
        <f t="shared" si="6"/>
        <v>47.328526697018368</v>
      </c>
      <c r="AU26" s="539">
        <f t="shared" si="7"/>
        <v>46.076533849438214</v>
      </c>
      <c r="AV26" s="539">
        <f t="shared" si="8"/>
        <v>45.206115715411698</v>
      </c>
      <c r="AW26" s="539">
        <f t="shared" si="9"/>
        <v>43.868437968808983</v>
      </c>
      <c r="AX26" s="539">
        <f t="shared" si="10"/>
        <v>43.479156187206492</v>
      </c>
      <c r="AY26" s="539">
        <f t="shared" si="11"/>
        <v>44.763701842866219</v>
      </c>
      <c r="AZ26" s="539">
        <f t="shared" si="12"/>
        <v>47.534340363160737</v>
      </c>
      <c r="BA26" s="539">
        <f t="shared" si="13"/>
        <v>51.553149184782313</v>
      </c>
      <c r="BB26" s="539">
        <f t="shared" si="14"/>
        <v>56.704823493672876</v>
      </c>
    </row>
    <row r="27" spans="1:54" ht="22.15" customHeight="1" x14ac:dyDescent="0.3">
      <c r="A27" s="639"/>
      <c r="B27" s="1302" t="str">
        <f>indicator</f>
        <v>LCOE (with margin), €/MWh</v>
      </c>
      <c r="C27" s="1303" t="str">
        <f>B27</f>
        <v>LCOE (with margin), €/MWh</v>
      </c>
      <c r="D27" s="1304"/>
      <c r="E27" s="1305"/>
      <c r="F27" s="1305"/>
      <c r="G27" s="1306"/>
      <c r="H27" s="1431"/>
      <c r="I27" s="1431"/>
      <c r="J27" s="1431"/>
      <c r="K27" s="1431"/>
      <c r="L27" s="1431"/>
      <c r="M27" s="1431"/>
      <c r="N27" s="1431"/>
      <c r="O27" s="1431"/>
      <c r="P27" s="1431"/>
      <c r="Q27" s="1431"/>
      <c r="R27" s="1913" t="str">
        <f>R10</f>
        <v>Wing area, m2</v>
      </c>
      <c r="T27" s="518"/>
      <c r="U27" s="518"/>
      <c r="V27" s="530" t="s">
        <v>740</v>
      </c>
      <c r="W27" s="1147">
        <f ca="1">SP_margin</f>
        <v>0.1</v>
      </c>
      <c r="X27" s="542">
        <f>IF($AB$32=AC27,X_axis_value,IF(AC27=$AB$33,Y_axis_value,SP_margin_selected))</f>
        <v>0</v>
      </c>
      <c r="Y27" s="532" t="s">
        <v>771</v>
      </c>
      <c r="AA27" s="511"/>
      <c r="AB27" s="532"/>
      <c r="AC27" s="533" t="s">
        <v>778</v>
      </c>
      <c r="AD27" s="534" t="s">
        <v>415</v>
      </c>
      <c r="AE27" s="518"/>
      <c r="AF27" s="518"/>
      <c r="AM27" s="1986"/>
      <c r="AN27" s="529">
        <f t="shared" ca="1" si="0"/>
        <v>1.5</v>
      </c>
      <c r="AO27" s="539">
        <f t="shared" si="1"/>
        <v>116.83651217228379</v>
      </c>
      <c r="AP27" s="539">
        <f t="shared" si="2"/>
        <v>71.937124649699143</v>
      </c>
      <c r="AQ27" s="539">
        <f t="shared" si="3"/>
        <v>61.55745576951999</v>
      </c>
      <c r="AR27" s="539">
        <f t="shared" si="4"/>
        <v>53.302133508556928</v>
      </c>
      <c r="AS27" s="539">
        <f t="shared" si="5"/>
        <v>51.049216401907124</v>
      </c>
      <c r="AT27" s="539">
        <f t="shared" si="6"/>
        <v>48.923085275656753</v>
      </c>
      <c r="AU27" s="539">
        <f t="shared" si="7"/>
        <v>47.013323176372019</v>
      </c>
      <c r="AV27" s="539">
        <f t="shared" si="8"/>
        <v>46.045050190052727</v>
      </c>
      <c r="AW27" s="539">
        <f t="shared" si="9"/>
        <v>44.48820590918082</v>
      </c>
      <c r="AX27" s="539">
        <f t="shared" si="10"/>
        <v>44.559396092360203</v>
      </c>
      <c r="AY27" s="539">
        <f t="shared" si="11"/>
        <v>45.883242380876098</v>
      </c>
      <c r="AZ27" s="539">
        <f t="shared" si="12"/>
        <v>48.394392514683254</v>
      </c>
      <c r="BA27" s="539">
        <f t="shared" si="13"/>
        <v>52.527238369835395</v>
      </c>
      <c r="BB27" s="539">
        <f t="shared" si="14"/>
        <v>57.896261178139447</v>
      </c>
    </row>
    <row r="28" spans="1:54" ht="22.15" customHeight="1" x14ac:dyDescent="0.3">
      <c r="A28" s="639"/>
      <c r="B28" s="1307"/>
      <c r="C28" s="561"/>
      <c r="D28" s="1833">
        <f t="shared" ref="D28:R28" ca="1" si="15">D11</f>
        <v>97.766902413760249</v>
      </c>
      <c r="E28" s="1914">
        <f t="shared" ca="1" si="15"/>
        <v>12</v>
      </c>
      <c r="F28" s="1914">
        <f t="shared" ca="1" si="15"/>
        <v>25</v>
      </c>
      <c r="G28" s="1914">
        <f t="shared" ca="1" si="15"/>
        <v>35</v>
      </c>
      <c r="H28" s="1914">
        <f t="shared" ca="1" si="15"/>
        <v>50</v>
      </c>
      <c r="I28" s="1914">
        <f t="shared" ca="1" si="15"/>
        <v>60</v>
      </c>
      <c r="J28" s="1914">
        <f t="shared" ca="1" si="15"/>
        <v>70</v>
      </c>
      <c r="K28" s="1914">
        <f t="shared" ca="1" si="15"/>
        <v>80</v>
      </c>
      <c r="L28" s="1914">
        <f t="shared" ca="1" si="15"/>
        <v>90</v>
      </c>
      <c r="M28" s="1914">
        <f t="shared" ca="1" si="15"/>
        <v>125</v>
      </c>
      <c r="N28" s="1914">
        <f t="shared" ca="1" si="15"/>
        <v>150</v>
      </c>
      <c r="O28" s="1914">
        <f t="shared" ca="1" si="15"/>
        <v>200</v>
      </c>
      <c r="P28" s="1914">
        <f t="shared" ca="1" si="15"/>
        <v>250</v>
      </c>
      <c r="Q28" s="1914">
        <f t="shared" ca="1" si="15"/>
        <v>300</v>
      </c>
      <c r="R28" s="1914">
        <f t="shared" ca="1" si="15"/>
        <v>350</v>
      </c>
      <c r="T28" s="518"/>
      <c r="U28" s="518"/>
      <c r="V28" s="530" t="s">
        <v>1669</v>
      </c>
      <c r="W28" s="1146">
        <f ca="1">Theta</f>
        <v>22</v>
      </c>
      <c r="X28" s="542">
        <f>IF($AB$32=AC28,X_axis_value,IF(AC28=$AB$33,Y_axis_value,SP_margin_selected))</f>
        <v>0</v>
      </c>
      <c r="Y28" s="532" t="s">
        <v>1673</v>
      </c>
      <c r="AA28" s="511"/>
      <c r="AB28" s="532"/>
      <c r="AC28" s="533" t="s">
        <v>1672</v>
      </c>
      <c r="AD28" s="516" t="s">
        <v>1633</v>
      </c>
      <c r="AE28" s="518"/>
      <c r="AF28" s="518"/>
      <c r="AM28" s="1986"/>
      <c r="AN28" s="529">
        <f t="shared" ca="1" si="0"/>
        <v>1.6</v>
      </c>
      <c r="AO28" s="539">
        <f t="shared" si="1"/>
        <v>122.76662314307141</v>
      </c>
      <c r="AP28" s="539">
        <f t="shared" si="2"/>
        <v>75.632397709812338</v>
      </c>
      <c r="AQ28" s="539">
        <f t="shared" si="3"/>
        <v>64.318414290580748</v>
      </c>
      <c r="AR28" s="539">
        <f t="shared" si="4"/>
        <v>55.509391146128124</v>
      </c>
      <c r="AS28" s="539">
        <f t="shared" si="5"/>
        <v>52.224128074890864</v>
      </c>
      <c r="AT28" s="539">
        <f t="shared" si="6"/>
        <v>49.962341101546002</v>
      </c>
      <c r="AU28" s="539">
        <f t="shared" si="7"/>
        <v>48.503713633004061</v>
      </c>
      <c r="AV28" s="539">
        <f t="shared" si="8"/>
        <v>47.514433316358677</v>
      </c>
      <c r="AW28" s="539">
        <f t="shared" si="9"/>
        <v>45.914263539669648</v>
      </c>
      <c r="AX28" s="539">
        <f t="shared" si="10"/>
        <v>45.488823773564498</v>
      </c>
      <c r="AY28" s="539">
        <f t="shared" si="11"/>
        <v>46.763986818661429</v>
      </c>
      <c r="AZ28" s="539">
        <f t="shared" si="12"/>
        <v>49.612899279517144</v>
      </c>
      <c r="BA28" s="539">
        <f t="shared" si="13"/>
        <v>53.858002365241283</v>
      </c>
      <c r="BB28" s="539">
        <f t="shared" si="14"/>
        <v>59.431637881794025</v>
      </c>
    </row>
    <row r="29" spans="1:54" ht="22.15" customHeight="1" x14ac:dyDescent="0.3">
      <c r="B29" s="1989" t="str">
        <f>B12</f>
        <v>Power, % of base power</v>
      </c>
      <c r="C29" s="563"/>
      <c r="D29" s="1834">
        <f t="shared" ref="D29:R29" ca="1" si="16">D12</f>
        <v>0.5</v>
      </c>
      <c r="E29" s="1835">
        <f t="shared" si="16"/>
        <v>112.30271719244782</v>
      </c>
      <c r="F29" s="1835">
        <f t="shared" si="16"/>
        <v>74.296557985889734</v>
      </c>
      <c r="G29" s="1835">
        <f t="shared" si="16"/>
        <v>64.5297536584158</v>
      </c>
      <c r="H29" s="1835">
        <f t="shared" si="16"/>
        <v>57.627882488089448</v>
      </c>
      <c r="I29" s="1835">
        <f t="shared" si="16"/>
        <v>54.590734005020167</v>
      </c>
      <c r="J29" s="1835">
        <f t="shared" si="16"/>
        <v>53.051407979974059</v>
      </c>
      <c r="K29" s="1835">
        <f t="shared" si="16"/>
        <v>52.074978953764898</v>
      </c>
      <c r="L29" s="1835">
        <f t="shared" si="16"/>
        <v>51.460404183857321</v>
      </c>
      <c r="M29" s="1835">
        <f t="shared" si="16"/>
        <v>50.629393420710585</v>
      </c>
      <c r="N29" s="1835">
        <f t="shared" si="16"/>
        <v>51.075114933387674</v>
      </c>
      <c r="O29" s="1835">
        <f t="shared" si="16"/>
        <v>53.872580569935678</v>
      </c>
      <c r="P29" s="1835">
        <f t="shared" si="16"/>
        <v>57.91538030483931</v>
      </c>
      <c r="Q29" s="1835">
        <f t="shared" si="16"/>
        <v>63.277609780969343</v>
      </c>
      <c r="R29" s="1835">
        <f t="shared" si="16"/>
        <v>69.780419587187339</v>
      </c>
      <c r="T29" s="518"/>
      <c r="U29" s="518"/>
      <c r="V29" s="530"/>
      <c r="W29" s="1147"/>
      <c r="X29" s="542"/>
      <c r="Y29" s="532"/>
      <c r="AA29" s="511"/>
      <c r="AB29" s="532"/>
      <c r="AC29" s="533"/>
      <c r="AD29" s="534"/>
      <c r="AE29" s="518"/>
      <c r="AF29" s="518"/>
      <c r="AM29" s="1986"/>
      <c r="AN29" s="529">
        <f t="shared" ca="1" si="0"/>
        <v>1.8</v>
      </c>
      <c r="AO29" s="539">
        <f t="shared" si="1"/>
        <v>137.05612287841581</v>
      </c>
      <c r="AP29" s="539">
        <f t="shared" si="2"/>
        <v>82.038879424541477</v>
      </c>
      <c r="AQ29" s="539">
        <f t="shared" si="3"/>
        <v>68.924109046224487</v>
      </c>
      <c r="AR29" s="539">
        <f t="shared" si="4"/>
        <v>59.800136413830103</v>
      </c>
      <c r="AS29" s="539">
        <f t="shared" si="5"/>
        <v>56.053366458706364</v>
      </c>
      <c r="AT29" s="539">
        <f t="shared" si="6"/>
        <v>53.499378463770157</v>
      </c>
      <c r="AU29" s="539">
        <f t="shared" si="7"/>
        <v>51.744138045860723</v>
      </c>
      <c r="AV29" s="539">
        <f t="shared" si="8"/>
        <v>50.609759390425118</v>
      </c>
      <c r="AW29" s="539">
        <f t="shared" si="9"/>
        <v>48.723958971112204</v>
      </c>
      <c r="AX29" s="539">
        <f t="shared" si="10"/>
        <v>48.267366808904121</v>
      </c>
      <c r="AY29" s="539">
        <f t="shared" si="11"/>
        <v>49.557619118126212</v>
      </c>
      <c r="AZ29" s="539">
        <f t="shared" si="12"/>
        <v>52.57535515359848</v>
      </c>
      <c r="BA29" s="539">
        <f t="shared" si="13"/>
        <v>57.084092771891321</v>
      </c>
      <c r="BB29" s="539">
        <f t="shared" si="14"/>
        <v>63.134400594035711</v>
      </c>
    </row>
    <row r="30" spans="1:54" ht="22.15" customHeight="1" x14ac:dyDescent="0.3">
      <c r="B30" s="1989"/>
      <c r="C30" s="564" t="str">
        <f>B29</f>
        <v>Power, % of base power</v>
      </c>
      <c r="D30" s="1834">
        <f t="shared" ref="D30:R30" ca="1" si="17">D13</f>
        <v>0.6</v>
      </c>
      <c r="E30" s="1835">
        <f t="shared" si="17"/>
        <v>103.10433388901532</v>
      </c>
      <c r="F30" s="1835">
        <f t="shared" si="17"/>
        <v>69.261672896129241</v>
      </c>
      <c r="G30" s="1835">
        <f t="shared" si="17"/>
        <v>60.162188763782105</v>
      </c>
      <c r="H30" s="1835">
        <f t="shared" si="17"/>
        <v>53.527135258920531</v>
      </c>
      <c r="I30" s="1835">
        <f t="shared" si="17"/>
        <v>50.595344844561986</v>
      </c>
      <c r="J30" s="1835">
        <f t="shared" si="17"/>
        <v>49.130602034678503</v>
      </c>
      <c r="K30" s="1835">
        <f t="shared" si="17"/>
        <v>48.182244234160244</v>
      </c>
      <c r="L30" s="1835">
        <f t="shared" si="17"/>
        <v>47.58279054539269</v>
      </c>
      <c r="M30" s="1835">
        <f t="shared" si="17"/>
        <v>46.642430504724942</v>
      </c>
      <c r="N30" s="1835">
        <f t="shared" si="17"/>
        <v>47.211148772145236</v>
      </c>
      <c r="O30" s="1835">
        <f t="shared" si="17"/>
        <v>49.486793069469222</v>
      </c>
      <c r="P30" s="1835">
        <f t="shared" si="17"/>
        <v>52.886141534407784</v>
      </c>
      <c r="Q30" s="1835">
        <f t="shared" si="17"/>
        <v>57.622258893378067</v>
      </c>
      <c r="R30" s="1835">
        <f t="shared" si="17"/>
        <v>63.711903732683389</v>
      </c>
      <c r="AB30" s="543"/>
      <c r="AM30" s="1986"/>
      <c r="AN30" s="529">
        <f t="shared" ca="1" si="0"/>
        <v>2</v>
      </c>
      <c r="AO30" s="539">
        <f t="shared" si="1"/>
        <v>154.65183659232841</v>
      </c>
      <c r="AP30" s="539">
        <f t="shared" si="2"/>
        <v>90.888610074578722</v>
      </c>
      <c r="AQ30" s="539">
        <f t="shared" si="3"/>
        <v>75.699481027608314</v>
      </c>
      <c r="AR30" s="539">
        <f t="shared" si="4"/>
        <v>65.023736840245519</v>
      </c>
      <c r="AS30" s="539">
        <f t="shared" si="5"/>
        <v>60.749801375126431</v>
      </c>
      <c r="AT30" s="539">
        <f t="shared" si="6"/>
        <v>57.850861599659808</v>
      </c>
      <c r="AU30" s="539">
        <f t="shared" si="7"/>
        <v>55.811820703804955</v>
      </c>
      <c r="AV30" s="539">
        <f t="shared" si="8"/>
        <v>54.490882571105615</v>
      </c>
      <c r="AW30" s="539">
        <f t="shared" si="9"/>
        <v>52.238852053086568</v>
      </c>
      <c r="AX30" s="539">
        <f t="shared" si="10"/>
        <v>51.718114769260353</v>
      </c>
      <c r="AY30" s="539">
        <f t="shared" si="11"/>
        <v>53.04345425621058</v>
      </c>
      <c r="AZ30" s="539">
        <f t="shared" si="12"/>
        <v>56.3036715613406</v>
      </c>
      <c r="BA30" s="539">
        <f t="shared" si="13"/>
        <v>61.128305860701907</v>
      </c>
      <c r="BB30" s="539">
        <f t="shared" si="14"/>
        <v>67.846854006761092</v>
      </c>
    </row>
    <row r="31" spans="1:54" ht="22.15" customHeight="1" x14ac:dyDescent="0.3">
      <c r="B31" s="1989"/>
      <c r="C31" s="565"/>
      <c r="D31" s="1834">
        <f t="shared" ref="D31:R31" ca="1" si="18">D14</f>
        <v>0.7</v>
      </c>
      <c r="E31" s="1835">
        <f t="shared" si="18"/>
        <v>99.445774975722472</v>
      </c>
      <c r="F31" s="1835">
        <f t="shared" si="18"/>
        <v>65.367733542877161</v>
      </c>
      <c r="G31" s="1835">
        <f t="shared" si="18"/>
        <v>56.754624385188968</v>
      </c>
      <c r="H31" s="1835">
        <f t="shared" si="18"/>
        <v>51.370631469192922</v>
      </c>
      <c r="I31" s="1835">
        <f t="shared" si="18"/>
        <v>49.032663979239068</v>
      </c>
      <c r="J31" s="1835">
        <f t="shared" si="18"/>
        <v>46.858119428366585</v>
      </c>
      <c r="K31" s="1835">
        <f t="shared" si="18"/>
        <v>45.862129343806835</v>
      </c>
      <c r="L31" s="1835">
        <f t="shared" si="18"/>
        <v>45.211060723443815</v>
      </c>
      <c r="M31" s="1835">
        <f t="shared" si="18"/>
        <v>44.790171670002678</v>
      </c>
      <c r="N31" s="1835">
        <f t="shared" si="18"/>
        <v>44.735765087252076</v>
      </c>
      <c r="O31" s="1835">
        <f t="shared" si="18"/>
        <v>46.646257153230785</v>
      </c>
      <c r="P31" s="1835">
        <f t="shared" si="18"/>
        <v>50.046632599032868</v>
      </c>
      <c r="Q31" s="1835">
        <f t="shared" si="18"/>
        <v>54.162212784964687</v>
      </c>
      <c r="R31" s="1835">
        <f t="shared" si="18"/>
        <v>59.677671364423027</v>
      </c>
      <c r="V31" s="544" t="s">
        <v>664</v>
      </c>
    </row>
    <row r="32" spans="1:54" ht="22.15" customHeight="1" x14ac:dyDescent="0.3">
      <c r="B32" s="1989"/>
      <c r="C32" s="565"/>
      <c r="D32" s="1834">
        <f t="shared" ref="D32:R32" ca="1" si="19">D15</f>
        <v>0.8</v>
      </c>
      <c r="E32" s="1835">
        <f t="shared" si="19"/>
        <v>96.808820425801329</v>
      </c>
      <c r="F32" s="1835">
        <f t="shared" si="19"/>
        <v>64.041464566829433</v>
      </c>
      <c r="G32" s="1835">
        <f t="shared" si="19"/>
        <v>55.525944374441849</v>
      </c>
      <c r="H32" s="1835">
        <f t="shared" si="19"/>
        <v>49.385551098733892</v>
      </c>
      <c r="I32" s="1835">
        <f t="shared" si="19"/>
        <v>47.135488300833906</v>
      </c>
      <c r="J32" s="1835">
        <f t="shared" si="19"/>
        <v>45.623278087286231</v>
      </c>
      <c r="K32" s="1835">
        <f t="shared" si="19"/>
        <v>44.581301127849564</v>
      </c>
      <c r="L32" s="1835">
        <f t="shared" si="19"/>
        <v>43.925501097858785</v>
      </c>
      <c r="M32" s="1835">
        <f t="shared" si="19"/>
        <v>42.91374458478753</v>
      </c>
      <c r="N32" s="1835">
        <f t="shared" si="19"/>
        <v>43.257366162236458</v>
      </c>
      <c r="O32" s="1835">
        <f t="shared" si="19"/>
        <v>44.981621911817541</v>
      </c>
      <c r="P32" s="1835">
        <f t="shared" si="19"/>
        <v>48.019906601173304</v>
      </c>
      <c r="Q32" s="1835">
        <f t="shared" si="19"/>
        <v>51.881336114325642</v>
      </c>
      <c r="R32" s="1835">
        <f t="shared" si="19"/>
        <v>57.163220582927977</v>
      </c>
      <c r="U32" s="525" t="s">
        <v>657</v>
      </c>
      <c r="V32" s="545" t="str">
        <f t="array" ref="V32">INDEX(drivers,X_axis_nr)</f>
        <v>Wing area</v>
      </c>
      <c r="W32" s="546"/>
      <c r="X32" s="525" t="s">
        <v>667</v>
      </c>
      <c r="Y32" s="518">
        <v>1</v>
      </c>
      <c r="Z32" s="525" t="s">
        <v>661</v>
      </c>
      <c r="AB32" s="547" t="str">
        <f t="array" ref="AB32">INDEX(AC15:AC29,X_axis_nr)</f>
        <v>scenario_sizes</v>
      </c>
      <c r="AC32" s="545" t="str">
        <f t="array" ref="AC32">INDEX(AD15:AD29,X_axis_nr)</f>
        <v>m2</v>
      </c>
    </row>
    <row r="33" spans="1:29" ht="22.15" customHeight="1" x14ac:dyDescent="0.3">
      <c r="B33" s="1989"/>
      <c r="C33" s="565"/>
      <c r="D33" s="1834">
        <f t="shared" ref="D33:R33" ca="1" si="20">D16</f>
        <v>0.9</v>
      </c>
      <c r="E33" s="1835">
        <f t="shared" si="20"/>
        <v>97.471344701176804</v>
      </c>
      <c r="F33" s="1835">
        <f t="shared" si="20"/>
        <v>64.173241927393903</v>
      </c>
      <c r="G33" s="1835">
        <f t="shared" si="20"/>
        <v>55.236655729839626</v>
      </c>
      <c r="H33" s="1835">
        <f t="shared" si="20"/>
        <v>48.986165501167939</v>
      </c>
      <c r="I33" s="1835">
        <f t="shared" si="20"/>
        <v>46.735580108838192</v>
      </c>
      <c r="J33" s="1835">
        <f t="shared" si="20"/>
        <v>45.188391545732117</v>
      </c>
      <c r="K33" s="1835">
        <f t="shared" si="20"/>
        <v>44.138038373176165</v>
      </c>
      <c r="L33" s="1835">
        <f t="shared" si="20"/>
        <v>43.420312563039083</v>
      </c>
      <c r="M33" s="1835">
        <f t="shared" si="20"/>
        <v>42.159553509152303</v>
      </c>
      <c r="N33" s="1835">
        <f t="shared" si="20"/>
        <v>42.582013272033727</v>
      </c>
      <c r="O33" s="1835">
        <f t="shared" si="20"/>
        <v>44.056179815579142</v>
      </c>
      <c r="P33" s="1835">
        <f t="shared" si="20"/>
        <v>46.904815235300589</v>
      </c>
      <c r="Q33" s="1835">
        <f t="shared" si="20"/>
        <v>50.632624905784063</v>
      </c>
      <c r="R33" s="1835">
        <f t="shared" si="20"/>
        <v>55.644092885429899</v>
      </c>
      <c r="U33" s="525" t="s">
        <v>658</v>
      </c>
      <c r="V33" s="545" t="str">
        <f t="array" ref="V33">INDEX(drivers,Y_axis_nr)</f>
        <v>Power</v>
      </c>
      <c r="W33" s="546"/>
      <c r="X33" s="525" t="s">
        <v>668</v>
      </c>
      <c r="Y33" s="518">
        <v>4</v>
      </c>
      <c r="Z33" s="525" t="s">
        <v>662</v>
      </c>
      <c r="AB33" s="547" t="str">
        <f t="array" ref="AB33">INDEX(AC15:AC29,Y_axis_nr)</f>
        <v>P_levels</v>
      </c>
      <c r="AC33" s="545" t="str">
        <f t="array" ref="AC33">INDEX(AD15:AD29,Y_axis_nr)</f>
        <v>% of base power</v>
      </c>
    </row>
    <row r="34" spans="1:29" ht="22.15" customHeight="1" x14ac:dyDescent="0.3">
      <c r="A34" s="549"/>
      <c r="B34" s="1989"/>
      <c r="C34" s="565"/>
      <c r="D34" s="1834">
        <f t="shared" ref="D34:R34" ca="1" si="21">D17</f>
        <v>1</v>
      </c>
      <c r="E34" s="1835">
        <f t="shared" si="21"/>
        <v>97.766902413760249</v>
      </c>
      <c r="F34" s="1835">
        <f t="shared" si="21"/>
        <v>63.600492171899738</v>
      </c>
      <c r="G34" s="1835">
        <f t="shared" si="21"/>
        <v>54.736010506289034</v>
      </c>
      <c r="H34" s="1835">
        <f t="shared" si="21"/>
        <v>49.10198543966434</v>
      </c>
      <c r="I34" s="1835">
        <f t="shared" si="21"/>
        <v>46.70268996597904</v>
      </c>
      <c r="J34" s="1835">
        <f t="shared" si="21"/>
        <v>45.188616906360458</v>
      </c>
      <c r="K34" s="1835">
        <f t="shared" si="21"/>
        <v>44.166255985146051</v>
      </c>
      <c r="L34" s="1835">
        <f t="shared" si="21"/>
        <v>43.449868445383103</v>
      </c>
      <c r="M34" s="1835">
        <f t="shared" si="21"/>
        <v>41.870821790067481</v>
      </c>
      <c r="N34" s="1835">
        <f t="shared" si="21"/>
        <v>42.312208550822696</v>
      </c>
      <c r="O34" s="1835">
        <f t="shared" si="21"/>
        <v>43.440386964038069</v>
      </c>
      <c r="P34" s="1835">
        <f t="shared" si="21"/>
        <v>46.194887191435072</v>
      </c>
      <c r="Q34" s="1835">
        <f t="shared" si="21"/>
        <v>50.03948320492195</v>
      </c>
      <c r="R34" s="1835">
        <f t="shared" si="21"/>
        <v>55.045296953773125</v>
      </c>
      <c r="AC34" s="543"/>
    </row>
    <row r="35" spans="1:29" ht="22.15" customHeight="1" x14ac:dyDescent="0.3">
      <c r="B35" s="1989"/>
      <c r="C35" s="565"/>
      <c r="D35" s="1834">
        <f t="shared" ref="D35:R35" ca="1" si="22">D18</f>
        <v>1.1000000000000001</v>
      </c>
      <c r="E35" s="1835">
        <f t="shared" si="22"/>
        <v>99.416940973818029</v>
      </c>
      <c r="F35" s="1835">
        <f t="shared" si="22"/>
        <v>65.10057522179099</v>
      </c>
      <c r="G35" s="1835">
        <f t="shared" si="22"/>
        <v>55.704966332352591</v>
      </c>
      <c r="H35" s="1835">
        <f t="shared" si="22"/>
        <v>48.929259474215648</v>
      </c>
      <c r="I35" s="1835">
        <f t="shared" si="22"/>
        <v>46.586319618166506</v>
      </c>
      <c r="J35" s="1835">
        <f t="shared" si="22"/>
        <v>45.01711820769728</v>
      </c>
      <c r="K35" s="1835">
        <f t="shared" si="22"/>
        <v>43.873430048609329</v>
      </c>
      <c r="L35" s="1835">
        <f t="shared" si="22"/>
        <v>43.104003131410288</v>
      </c>
      <c r="M35" s="1835">
        <f t="shared" si="22"/>
        <v>42.090599359048099</v>
      </c>
      <c r="N35" s="1835">
        <f t="shared" si="22"/>
        <v>41.933896783661446</v>
      </c>
      <c r="O35" s="1835">
        <f t="shared" si="22"/>
        <v>43.374834851109547</v>
      </c>
      <c r="P35" s="1835">
        <f t="shared" si="22"/>
        <v>46.036773164807563</v>
      </c>
      <c r="Q35" s="1835">
        <f t="shared" si="22"/>
        <v>50.043509361076502</v>
      </c>
      <c r="R35" s="1835">
        <f t="shared" si="22"/>
        <v>54.842986522253156</v>
      </c>
      <c r="AC35" s="543"/>
    </row>
    <row r="36" spans="1:29" ht="22.15" customHeight="1" x14ac:dyDescent="0.3">
      <c r="B36" s="1989"/>
      <c r="C36" s="565"/>
      <c r="D36" s="1834">
        <f t="shared" ref="D36:R36" ca="1" si="23">D19</f>
        <v>1.2</v>
      </c>
      <c r="E36" s="1835">
        <f t="shared" si="23"/>
        <v>103.13205672375575</v>
      </c>
      <c r="F36" s="1835">
        <f t="shared" si="23"/>
        <v>65.742846869273563</v>
      </c>
      <c r="G36" s="1835">
        <f t="shared" si="23"/>
        <v>57.172354594166997</v>
      </c>
      <c r="H36" s="1835">
        <f t="shared" si="23"/>
        <v>50.045083081248876</v>
      </c>
      <c r="I36" s="1835">
        <f t="shared" si="23"/>
        <v>47.378992534937701</v>
      </c>
      <c r="J36" s="1835">
        <f t="shared" si="23"/>
        <v>45.682446115800616</v>
      </c>
      <c r="K36" s="1835">
        <f t="shared" si="23"/>
        <v>44.561376677908186</v>
      </c>
      <c r="L36" s="1835">
        <f t="shared" si="23"/>
        <v>43.79559615599419</v>
      </c>
      <c r="M36" s="1835">
        <f t="shared" si="23"/>
        <v>42.163566993453983</v>
      </c>
      <c r="N36" s="1835">
        <f t="shared" si="23"/>
        <v>42.314018947167327</v>
      </c>
      <c r="O36" s="1835">
        <f t="shared" si="23"/>
        <v>43.620974860505576</v>
      </c>
      <c r="P36" s="1835">
        <f t="shared" si="23"/>
        <v>46.353745973670769</v>
      </c>
      <c r="Q36" s="1835">
        <f t="shared" si="23"/>
        <v>50.246822508087064</v>
      </c>
      <c r="R36" s="1835">
        <f t="shared" si="23"/>
        <v>55.109146733682131</v>
      </c>
      <c r="AC36" s="543"/>
    </row>
    <row r="37" spans="1:29" ht="22.15" customHeight="1" x14ac:dyDescent="0.3">
      <c r="A37" s="551"/>
      <c r="B37" s="1989"/>
      <c r="C37" s="565"/>
      <c r="D37" s="1834">
        <f t="shared" ref="D37:R37" ca="1" si="24">D20</f>
        <v>1.3</v>
      </c>
      <c r="E37" s="1835">
        <f t="shared" si="24"/>
        <v>106.56284502806226</v>
      </c>
      <c r="F37" s="1835">
        <f t="shared" si="24"/>
        <v>68.195335063219474</v>
      </c>
      <c r="G37" s="1835">
        <f t="shared" si="24"/>
        <v>57.920771468870683</v>
      </c>
      <c r="H37" s="1835">
        <f t="shared" si="24"/>
        <v>50.540308192298816</v>
      </c>
      <c r="I37" s="1835">
        <f t="shared" si="24"/>
        <v>47.919759847935943</v>
      </c>
      <c r="J37" s="1835">
        <f t="shared" si="24"/>
        <v>46.171888305889034</v>
      </c>
      <c r="K37" s="1835">
        <f t="shared" si="24"/>
        <v>44.941999503860366</v>
      </c>
      <c r="L37" s="1835">
        <f t="shared" si="24"/>
        <v>44.089366815969882</v>
      </c>
      <c r="M37" s="1835">
        <f t="shared" si="24"/>
        <v>42.796682701721217</v>
      </c>
      <c r="N37" s="1835">
        <f t="shared" si="24"/>
        <v>42.960334992184364</v>
      </c>
      <c r="O37" s="1835">
        <f t="shared" si="24"/>
        <v>44.356607579387124</v>
      </c>
      <c r="P37" s="1835">
        <f t="shared" si="24"/>
        <v>46.702195615212482</v>
      </c>
      <c r="Q37" s="1835">
        <f t="shared" si="24"/>
        <v>50.656601925971557</v>
      </c>
      <c r="R37" s="1835">
        <f t="shared" si="24"/>
        <v>55.668293753140624</v>
      </c>
      <c r="AC37" s="543"/>
    </row>
    <row r="38" spans="1:29" ht="22.15" customHeight="1" x14ac:dyDescent="0.3">
      <c r="A38" s="551"/>
      <c r="B38" s="1989"/>
      <c r="C38" s="565"/>
      <c r="D38" s="1834">
        <f t="shared" ref="D38:R38" ca="1" si="25">D21</f>
        <v>1.4</v>
      </c>
      <c r="E38" s="1835">
        <f t="shared" si="25"/>
        <v>110.82862252748019</v>
      </c>
      <c r="F38" s="1835">
        <f t="shared" si="25"/>
        <v>69.818531779481376</v>
      </c>
      <c r="G38" s="1835">
        <f t="shared" si="25"/>
        <v>60.109085534484961</v>
      </c>
      <c r="H38" s="1835">
        <f t="shared" si="25"/>
        <v>52.238549357631221</v>
      </c>
      <c r="I38" s="1835">
        <f t="shared" si="25"/>
        <v>49.30734201210683</v>
      </c>
      <c r="J38" s="1835">
        <f t="shared" si="25"/>
        <v>47.328526697018368</v>
      </c>
      <c r="K38" s="1835">
        <f t="shared" si="25"/>
        <v>46.076533849438214</v>
      </c>
      <c r="L38" s="1835">
        <f t="shared" si="25"/>
        <v>45.206115715411698</v>
      </c>
      <c r="M38" s="1835">
        <f t="shared" si="25"/>
        <v>43.868437968808983</v>
      </c>
      <c r="N38" s="1835">
        <f t="shared" si="25"/>
        <v>43.479156187206492</v>
      </c>
      <c r="O38" s="1835">
        <f t="shared" si="25"/>
        <v>44.763701842866219</v>
      </c>
      <c r="P38" s="1835">
        <f t="shared" si="25"/>
        <v>47.534340363160737</v>
      </c>
      <c r="Q38" s="1835">
        <f t="shared" si="25"/>
        <v>51.553149184782313</v>
      </c>
      <c r="R38" s="1835">
        <f t="shared" si="25"/>
        <v>56.704823493672876</v>
      </c>
      <c r="AC38" s="543"/>
    </row>
    <row r="39" spans="1:29" ht="22.15" customHeight="1" x14ac:dyDescent="0.3">
      <c r="A39" s="551"/>
      <c r="B39" s="1989"/>
      <c r="C39" s="565"/>
      <c r="D39" s="1834">
        <f t="shared" ref="D39:R39" ca="1" si="26">D22</f>
        <v>1.5</v>
      </c>
      <c r="E39" s="1835">
        <f t="shared" si="26"/>
        <v>116.83651217228379</v>
      </c>
      <c r="F39" s="1835">
        <f t="shared" si="26"/>
        <v>71.937124649699143</v>
      </c>
      <c r="G39" s="1835">
        <f t="shared" si="26"/>
        <v>61.55745576951999</v>
      </c>
      <c r="H39" s="1835">
        <f t="shared" si="26"/>
        <v>53.302133508556928</v>
      </c>
      <c r="I39" s="1835">
        <f t="shared" si="26"/>
        <v>51.049216401907124</v>
      </c>
      <c r="J39" s="1835">
        <f t="shared" si="26"/>
        <v>48.923085275656753</v>
      </c>
      <c r="K39" s="1835">
        <f t="shared" si="26"/>
        <v>47.013323176372019</v>
      </c>
      <c r="L39" s="1835">
        <f t="shared" si="26"/>
        <v>46.045050190052727</v>
      </c>
      <c r="M39" s="1835">
        <f t="shared" si="26"/>
        <v>44.48820590918082</v>
      </c>
      <c r="N39" s="1835">
        <f t="shared" si="26"/>
        <v>44.559396092360203</v>
      </c>
      <c r="O39" s="1835">
        <f t="shared" si="26"/>
        <v>45.883242380876098</v>
      </c>
      <c r="P39" s="1835">
        <f t="shared" si="26"/>
        <v>48.394392514683254</v>
      </c>
      <c r="Q39" s="1835">
        <f t="shared" si="26"/>
        <v>52.527238369835395</v>
      </c>
      <c r="R39" s="1835">
        <f t="shared" si="26"/>
        <v>57.896261178139447</v>
      </c>
      <c r="AC39" s="543"/>
    </row>
    <row r="40" spans="1:29" ht="22.15" customHeight="1" x14ac:dyDescent="0.3">
      <c r="A40" s="551"/>
      <c r="B40" s="1989"/>
      <c r="C40" s="565"/>
      <c r="D40" s="1834">
        <f t="shared" ref="D40:R40" ca="1" si="27">D23</f>
        <v>1.6</v>
      </c>
      <c r="E40" s="1835">
        <f t="shared" si="27"/>
        <v>122.76662314307141</v>
      </c>
      <c r="F40" s="1835">
        <f t="shared" si="27"/>
        <v>75.632397709812338</v>
      </c>
      <c r="G40" s="1835">
        <f t="shared" si="27"/>
        <v>64.318414290580748</v>
      </c>
      <c r="H40" s="1835">
        <f t="shared" si="27"/>
        <v>55.509391146128124</v>
      </c>
      <c r="I40" s="1835">
        <f t="shared" si="27"/>
        <v>52.224128074890864</v>
      </c>
      <c r="J40" s="1835">
        <f t="shared" si="27"/>
        <v>49.962341101546002</v>
      </c>
      <c r="K40" s="1835">
        <f t="shared" si="27"/>
        <v>48.503713633004061</v>
      </c>
      <c r="L40" s="1835">
        <f t="shared" si="27"/>
        <v>47.514433316358677</v>
      </c>
      <c r="M40" s="1835">
        <f t="shared" si="27"/>
        <v>45.914263539669648</v>
      </c>
      <c r="N40" s="1835">
        <f t="shared" si="27"/>
        <v>45.488823773564498</v>
      </c>
      <c r="O40" s="1835">
        <f t="shared" si="27"/>
        <v>46.763986818661429</v>
      </c>
      <c r="P40" s="1835">
        <f t="shared" si="27"/>
        <v>49.612899279517144</v>
      </c>
      <c r="Q40" s="1835">
        <f t="shared" si="27"/>
        <v>53.858002365241283</v>
      </c>
      <c r="R40" s="1835">
        <f t="shared" si="27"/>
        <v>59.431637881794025</v>
      </c>
      <c r="V40" s="544" t="s">
        <v>593</v>
      </c>
      <c r="AB40" s="543"/>
    </row>
    <row r="41" spans="1:29" ht="22.15" customHeight="1" x14ac:dyDescent="0.3">
      <c r="A41" s="551"/>
      <c r="B41" s="1989"/>
      <c r="C41" s="565"/>
      <c r="D41" s="1834">
        <f t="shared" ref="D41:R41" ca="1" si="28">D24</f>
        <v>1.8</v>
      </c>
      <c r="E41" s="1835">
        <f t="shared" si="28"/>
        <v>137.05612287841581</v>
      </c>
      <c r="F41" s="1835">
        <f t="shared" si="28"/>
        <v>82.038879424541477</v>
      </c>
      <c r="G41" s="1835">
        <f t="shared" si="28"/>
        <v>68.924109046224487</v>
      </c>
      <c r="H41" s="1835">
        <f t="shared" si="28"/>
        <v>59.800136413830103</v>
      </c>
      <c r="I41" s="1835">
        <f t="shared" si="28"/>
        <v>56.053366458706364</v>
      </c>
      <c r="J41" s="1835">
        <f t="shared" si="28"/>
        <v>53.499378463770157</v>
      </c>
      <c r="K41" s="1835">
        <f t="shared" si="28"/>
        <v>51.744138045860723</v>
      </c>
      <c r="L41" s="1835">
        <f t="shared" si="28"/>
        <v>50.609759390425118</v>
      </c>
      <c r="M41" s="1835">
        <f t="shared" si="28"/>
        <v>48.723958971112204</v>
      </c>
      <c r="N41" s="1835">
        <f t="shared" si="28"/>
        <v>48.267366808904121</v>
      </c>
      <c r="O41" s="1835">
        <f t="shared" si="28"/>
        <v>49.557619118126212</v>
      </c>
      <c r="P41" s="1835">
        <f t="shared" si="28"/>
        <v>52.57535515359848</v>
      </c>
      <c r="Q41" s="1835">
        <f t="shared" si="28"/>
        <v>57.084092771891321</v>
      </c>
      <c r="R41" s="1835">
        <f t="shared" si="28"/>
        <v>63.134400594035711</v>
      </c>
      <c r="W41" s="518">
        <v>19</v>
      </c>
      <c r="X41" s="550" t="s">
        <v>595</v>
      </c>
    </row>
    <row r="42" spans="1:29" ht="22.15" customHeight="1" x14ac:dyDescent="0.3">
      <c r="B42" s="1989"/>
      <c r="C42" s="565"/>
      <c r="D42" s="1834">
        <f t="shared" ref="D42:R42" ca="1" si="29">D25</f>
        <v>2</v>
      </c>
      <c r="E42" s="1835">
        <f t="shared" si="29"/>
        <v>154.65183659232841</v>
      </c>
      <c r="F42" s="1835">
        <f t="shared" si="29"/>
        <v>90.888610074578722</v>
      </c>
      <c r="G42" s="1835">
        <f t="shared" si="29"/>
        <v>75.699481027608314</v>
      </c>
      <c r="H42" s="1835">
        <f t="shared" si="29"/>
        <v>65.023736840245519</v>
      </c>
      <c r="I42" s="1835">
        <f t="shared" si="29"/>
        <v>60.749801375126431</v>
      </c>
      <c r="J42" s="1835">
        <f t="shared" si="29"/>
        <v>57.850861599659808</v>
      </c>
      <c r="K42" s="1835">
        <f t="shared" si="29"/>
        <v>55.811820703804955</v>
      </c>
      <c r="L42" s="1835">
        <f t="shared" si="29"/>
        <v>54.490882571105615</v>
      </c>
      <c r="M42" s="1835">
        <f t="shared" si="29"/>
        <v>52.238852053086568</v>
      </c>
      <c r="N42" s="1835">
        <f t="shared" si="29"/>
        <v>51.718114769260353</v>
      </c>
      <c r="O42" s="1835">
        <f t="shared" si="29"/>
        <v>53.04345425621058</v>
      </c>
      <c r="P42" s="1835">
        <f t="shared" si="29"/>
        <v>56.3036715613406</v>
      </c>
      <c r="Q42" s="1835">
        <f t="shared" si="29"/>
        <v>61.128305860701907</v>
      </c>
      <c r="R42" s="1835">
        <f t="shared" si="29"/>
        <v>67.846854006761092</v>
      </c>
    </row>
    <row r="43" spans="1:29" ht="22.15" customHeight="1" x14ac:dyDescent="0.3">
      <c r="A43" s="549"/>
      <c r="D43" s="1118"/>
      <c r="E43" s="511"/>
      <c r="J43" s="671"/>
      <c r="V43" s="552" t="s">
        <v>597</v>
      </c>
      <c r="W43" s="552" t="s">
        <v>598</v>
      </c>
    </row>
    <row r="44" spans="1:29" ht="22.15" customHeight="1" x14ac:dyDescent="0.3">
      <c r="D44" s="562">
        <f ca="1">IFERROR(indicator_value,0)</f>
        <v>97.766902413760249</v>
      </c>
      <c r="E44" s="596">
        <f t="shared" ref="E44:R44" ca="1" si="30">E11</f>
        <v>12</v>
      </c>
      <c r="F44" s="596">
        <f t="shared" ca="1" si="30"/>
        <v>25</v>
      </c>
      <c r="G44" s="596">
        <f t="shared" ca="1" si="30"/>
        <v>35</v>
      </c>
      <c r="H44" s="596">
        <f t="shared" ca="1" si="30"/>
        <v>50</v>
      </c>
      <c r="I44" s="596">
        <f t="shared" ca="1" si="30"/>
        <v>60</v>
      </c>
      <c r="J44" s="596">
        <f t="shared" ca="1" si="30"/>
        <v>70</v>
      </c>
      <c r="K44" s="596">
        <f t="shared" ca="1" si="30"/>
        <v>80</v>
      </c>
      <c r="L44" s="596">
        <f t="shared" ca="1" si="30"/>
        <v>90</v>
      </c>
      <c r="M44" s="596">
        <f t="shared" ca="1" si="30"/>
        <v>125</v>
      </c>
      <c r="N44" s="596">
        <f t="shared" ca="1" si="30"/>
        <v>150</v>
      </c>
      <c r="O44" s="596">
        <f t="shared" ca="1" si="30"/>
        <v>200</v>
      </c>
      <c r="P44" s="596">
        <f t="shared" ca="1" si="30"/>
        <v>250</v>
      </c>
      <c r="Q44" s="596">
        <f t="shared" ca="1" si="30"/>
        <v>300</v>
      </c>
      <c r="R44" s="596">
        <f t="shared" ca="1" si="30"/>
        <v>350</v>
      </c>
      <c r="V44" s="547" t="str">
        <f t="array" ref="V44">INDEX(V47:V92,W41)</f>
        <v>LCOE (with margin), €/MWh</v>
      </c>
      <c r="W44" s="553">
        <f t="array" aca="1" ref="W44" ca="1">INDEX(W47:W92,W41)</f>
        <v>97.766902413760249</v>
      </c>
    </row>
    <row r="45" spans="1:29" ht="22.15" customHeight="1" x14ac:dyDescent="0.3">
      <c r="D45" s="596">
        <f t="shared" ref="D45:D58" ca="1" si="31">D12</f>
        <v>0.5</v>
      </c>
      <c r="E45" s="548"/>
      <c r="F45" s="548">
        <f t="shared" ref="F45:R45" si="32">F12/E12-1</f>
        <v>-0.33842599855735223</v>
      </c>
      <c r="G45" s="548">
        <f t="shared" si="32"/>
        <v>-0.13145702293945871</v>
      </c>
      <c r="H45" s="548">
        <f t="shared" si="32"/>
        <v>-0.1069564159017401</v>
      </c>
      <c r="I45" s="548">
        <f t="shared" si="32"/>
        <v>-5.2702760398961379E-2</v>
      </c>
      <c r="J45" s="548">
        <f t="shared" si="32"/>
        <v>-2.8197569662729793E-2</v>
      </c>
      <c r="K45" s="548">
        <f t="shared" si="32"/>
        <v>-1.8405336698655517E-2</v>
      </c>
      <c r="L45" s="548">
        <f t="shared" si="32"/>
        <v>-1.1801728627739427E-2</v>
      </c>
      <c r="M45" s="548">
        <f t="shared" si="32"/>
        <v>-1.614854714661218E-2</v>
      </c>
      <c r="N45" s="548">
        <f t="shared" si="32"/>
        <v>8.8036115497833745E-3</v>
      </c>
      <c r="O45" s="548">
        <f t="shared" si="32"/>
        <v>5.477159748336291E-2</v>
      </c>
      <c r="P45" s="548">
        <f t="shared" si="32"/>
        <v>7.5043736389338145E-2</v>
      </c>
      <c r="Q45" s="548">
        <f t="shared" si="32"/>
        <v>9.2587313558259998E-2</v>
      </c>
      <c r="R45" s="548">
        <f t="shared" si="32"/>
        <v>0.10276636283713914</v>
      </c>
    </row>
    <row r="46" spans="1:29" ht="22.15" customHeight="1" x14ac:dyDescent="0.3">
      <c r="A46" s="551"/>
      <c r="D46" s="596">
        <f t="shared" ca="1" si="31"/>
        <v>0.6</v>
      </c>
      <c r="E46" s="548"/>
      <c r="F46" s="548">
        <f t="shared" ref="F46:R46" si="33">F13/E13-1</f>
        <v>-0.32823703637245127</v>
      </c>
      <c r="G46" s="548">
        <f t="shared" si="33"/>
        <v>-0.13137834753130362</v>
      </c>
      <c r="H46" s="548">
        <f t="shared" si="33"/>
        <v>-0.11028610562878827</v>
      </c>
      <c r="I46" s="548">
        <f t="shared" si="33"/>
        <v>-5.4772040389924448E-2</v>
      </c>
      <c r="J46" s="548">
        <f t="shared" si="33"/>
        <v>-2.8950149749615073E-2</v>
      </c>
      <c r="K46" s="548">
        <f t="shared" si="33"/>
        <v>-1.9302792175208139E-2</v>
      </c>
      <c r="L46" s="548">
        <f t="shared" si="33"/>
        <v>-1.2441381639557436E-2</v>
      </c>
      <c r="M46" s="548">
        <f t="shared" si="33"/>
        <v>-1.9762608075091115E-2</v>
      </c>
      <c r="N46" s="548">
        <f t="shared" si="33"/>
        <v>1.2193152485110881E-2</v>
      </c>
      <c r="O46" s="548">
        <f t="shared" si="33"/>
        <v>4.82014175996206E-2</v>
      </c>
      <c r="P46" s="548">
        <f t="shared" si="33"/>
        <v>6.8692033855711321E-2</v>
      </c>
      <c r="Q46" s="548">
        <f t="shared" si="33"/>
        <v>8.9553089364421856E-2</v>
      </c>
      <c r="R46" s="548">
        <f t="shared" si="33"/>
        <v>0.10568216096098149</v>
      </c>
      <c r="V46" s="552" t="s">
        <v>596</v>
      </c>
      <c r="W46" s="554"/>
      <c r="Y46" s="514"/>
    </row>
    <row r="47" spans="1:29" ht="22.15" customHeight="1" x14ac:dyDescent="0.3">
      <c r="A47" s="551"/>
      <c r="D47" s="596">
        <f t="shared" ca="1" si="31"/>
        <v>0.7</v>
      </c>
      <c r="E47" s="548"/>
      <c r="F47" s="548">
        <f t="shared" ref="F47:R47" si="34">F14/E14-1</f>
        <v>-0.3426796305943085</v>
      </c>
      <c r="G47" s="548">
        <f t="shared" si="34"/>
        <v>-0.13176392527115122</v>
      </c>
      <c r="H47" s="548">
        <f t="shared" si="34"/>
        <v>-9.4864391656534042E-2</v>
      </c>
      <c r="I47" s="548">
        <f t="shared" si="34"/>
        <v>-4.551175298197252E-2</v>
      </c>
      <c r="J47" s="548">
        <f t="shared" si="34"/>
        <v>-4.4348896723074405E-2</v>
      </c>
      <c r="K47" s="548">
        <f t="shared" si="34"/>
        <v>-2.1255442956526482E-2</v>
      </c>
      <c r="L47" s="548">
        <f t="shared" si="34"/>
        <v>-1.4196214385997274E-2</v>
      </c>
      <c r="M47" s="548">
        <f t="shared" si="34"/>
        <v>-9.3094266470702403E-3</v>
      </c>
      <c r="N47" s="548">
        <f t="shared" si="34"/>
        <v>-1.2146991342530944E-3</v>
      </c>
      <c r="O47" s="548">
        <f t="shared" si="34"/>
        <v>4.2706144898885912E-2</v>
      </c>
      <c r="P47" s="548">
        <f t="shared" si="34"/>
        <v>7.2897069418281779E-2</v>
      </c>
      <c r="Q47" s="548">
        <f t="shared" si="34"/>
        <v>8.2234907169585592E-2</v>
      </c>
      <c r="R47" s="548">
        <f t="shared" si="34"/>
        <v>0.10183222390406876</v>
      </c>
      <c r="V47" s="516" t="s">
        <v>594</v>
      </c>
      <c r="W47" s="555">
        <f ca="1">'Capex &amp; Opex'!X73</f>
        <v>0.72068254675387011</v>
      </c>
      <c r="X47" s="522"/>
    </row>
    <row r="48" spans="1:29" ht="22.15" customHeight="1" x14ac:dyDescent="0.3">
      <c r="A48" s="551"/>
      <c r="D48" s="596">
        <f t="shared" ca="1" si="31"/>
        <v>0.8</v>
      </c>
      <c r="E48" s="548"/>
      <c r="F48" s="548">
        <f t="shared" ref="F48:R48" si="35">F15/E15-1</f>
        <v>-0.3384749004775478</v>
      </c>
      <c r="G48" s="548">
        <f t="shared" si="35"/>
        <v>-0.13296885463169494</v>
      </c>
      <c r="H48" s="548">
        <f t="shared" si="35"/>
        <v>-0.11058602145152041</v>
      </c>
      <c r="I48" s="548">
        <f t="shared" si="35"/>
        <v>-4.5561156002927983E-2</v>
      </c>
      <c r="J48" s="548">
        <f t="shared" si="35"/>
        <v>-3.208220107737636E-2</v>
      </c>
      <c r="K48" s="548">
        <f t="shared" si="35"/>
        <v>-2.2838713111389408E-2</v>
      </c>
      <c r="L48" s="548">
        <f t="shared" si="35"/>
        <v>-1.4710203906119435E-2</v>
      </c>
      <c r="M48" s="548">
        <f t="shared" si="35"/>
        <v>-2.3033465476403503E-2</v>
      </c>
      <c r="N48" s="548">
        <f t="shared" si="35"/>
        <v>8.0072615609205755E-3</v>
      </c>
      <c r="O48" s="548">
        <f t="shared" si="35"/>
        <v>3.9860396102579854E-2</v>
      </c>
      <c r="P48" s="548">
        <f t="shared" si="35"/>
        <v>6.7545023061019283E-2</v>
      </c>
      <c r="Q48" s="548">
        <f t="shared" si="35"/>
        <v>8.0413099201196436E-2</v>
      </c>
      <c r="R48" s="548">
        <f t="shared" si="35"/>
        <v>0.10180702472587022</v>
      </c>
      <c r="V48" s="516" t="s">
        <v>601</v>
      </c>
      <c r="W48" s="555">
        <f ca="1">'Capex &amp; Opex'!Y73/1000</f>
        <v>0.25308909939098095</v>
      </c>
    </row>
    <row r="49" spans="1:24" ht="22.15" customHeight="1" x14ac:dyDescent="0.3">
      <c r="A49" s="551"/>
      <c r="D49" s="596">
        <f t="shared" ca="1" si="31"/>
        <v>0.9</v>
      </c>
      <c r="E49" s="548"/>
      <c r="F49" s="548">
        <f t="shared" ref="F49:R49" si="36">F16/E16-1</f>
        <v>-0.34161940492220255</v>
      </c>
      <c r="G49" s="548">
        <f t="shared" si="36"/>
        <v>-0.13925720330079627</v>
      </c>
      <c r="H49" s="548">
        <f t="shared" si="36"/>
        <v>-0.11315837546796093</v>
      </c>
      <c r="I49" s="548">
        <f t="shared" si="36"/>
        <v>-4.5943285605322348E-2</v>
      </c>
      <c r="J49" s="548">
        <f t="shared" si="36"/>
        <v>-3.3105153707367552E-2</v>
      </c>
      <c r="K49" s="548">
        <f t="shared" si="36"/>
        <v>-2.3243871636656088E-2</v>
      </c>
      <c r="L49" s="548">
        <f t="shared" si="36"/>
        <v>-1.626093584107402E-2</v>
      </c>
      <c r="M49" s="548">
        <f t="shared" si="36"/>
        <v>-2.9036157951566222E-2</v>
      </c>
      <c r="N49" s="548">
        <f t="shared" si="36"/>
        <v>1.0020498978712267E-2</v>
      </c>
      <c r="O49" s="548">
        <f t="shared" si="36"/>
        <v>3.4619465597545807E-2</v>
      </c>
      <c r="P49" s="548">
        <f t="shared" si="36"/>
        <v>6.4659156369116566E-2</v>
      </c>
      <c r="Q49" s="548">
        <f t="shared" si="36"/>
        <v>7.947605489506171E-2</v>
      </c>
      <c r="R49" s="548">
        <f t="shared" si="36"/>
        <v>9.8977052621132211E-2</v>
      </c>
      <c r="V49" s="516" t="s">
        <v>600</v>
      </c>
      <c r="W49" s="556">
        <f ca="1">'Capex &amp; Opex'!$Z$135</f>
        <v>2.42421365266306</v>
      </c>
    </row>
    <row r="50" spans="1:24" ht="22.15" customHeight="1" x14ac:dyDescent="0.3">
      <c r="A50" s="551"/>
      <c r="D50" s="596">
        <f t="shared" ca="1" si="31"/>
        <v>1</v>
      </c>
      <c r="E50" s="548"/>
      <c r="F50" s="548">
        <f t="shared" ref="F50:R50" si="37">F17/E17-1</f>
        <v>-0.3494680653506288</v>
      </c>
      <c r="G50" s="548">
        <f t="shared" si="37"/>
        <v>-0.1393775639605388</v>
      </c>
      <c r="H50" s="548">
        <f t="shared" si="37"/>
        <v>-0.10293086789687311</v>
      </c>
      <c r="I50" s="548">
        <f t="shared" si="37"/>
        <v>-4.8863512385532992E-2</v>
      </c>
      <c r="J50" s="548">
        <f t="shared" si="37"/>
        <v>-3.241939727072507E-2</v>
      </c>
      <c r="K50" s="548">
        <f t="shared" si="37"/>
        <v>-2.2624302118671502E-2</v>
      </c>
      <c r="L50" s="548">
        <f t="shared" si="37"/>
        <v>-1.6220246063055055E-2</v>
      </c>
      <c r="M50" s="548">
        <f t="shared" si="37"/>
        <v>-3.6341805207085964E-2</v>
      </c>
      <c r="N50" s="548">
        <f t="shared" si="37"/>
        <v>1.0541631185751354E-2</v>
      </c>
      <c r="O50" s="548">
        <f t="shared" si="37"/>
        <v>2.6663188990956987E-2</v>
      </c>
      <c r="P50" s="548">
        <f t="shared" si="37"/>
        <v>6.3408740573082545E-2</v>
      </c>
      <c r="Q50" s="548">
        <f t="shared" si="37"/>
        <v>8.3225574240599176E-2</v>
      </c>
      <c r="R50" s="548">
        <f t="shared" si="37"/>
        <v>0.10003727912918969</v>
      </c>
      <c r="V50" s="516" t="s">
        <v>602</v>
      </c>
      <c r="W50" s="555">
        <f ca="1">'Capex &amp; Opex'!Y135/1000</f>
        <v>1.090896143698377E-2</v>
      </c>
      <c r="X50" s="554"/>
    </row>
    <row r="51" spans="1:24" ht="22.15" customHeight="1" x14ac:dyDescent="0.3">
      <c r="D51" s="596">
        <f t="shared" ca="1" si="31"/>
        <v>1.1000000000000001</v>
      </c>
      <c r="E51" s="548"/>
      <c r="F51" s="548">
        <f t="shared" ref="F51:R51" si="38">F18/E18-1</f>
        <v>-0.34517623873645875</v>
      </c>
      <c r="G51" s="548">
        <f t="shared" si="38"/>
        <v>-0.14432451414489844</v>
      </c>
      <c r="H51" s="548">
        <f t="shared" si="38"/>
        <v>-0.12163559740277086</v>
      </c>
      <c r="I51" s="548">
        <f t="shared" si="38"/>
        <v>-4.7884228807587137E-2</v>
      </c>
      <c r="J51" s="548">
        <f t="shared" si="38"/>
        <v>-3.3683738559534326E-2</v>
      </c>
      <c r="K51" s="548">
        <f t="shared" si="38"/>
        <v>-2.5405628006023639E-2</v>
      </c>
      <c r="L51" s="548">
        <f t="shared" si="38"/>
        <v>-1.7537423364130889E-2</v>
      </c>
      <c r="M51" s="548">
        <f t="shared" si="38"/>
        <v>-2.3510664874272669E-2</v>
      </c>
      <c r="N51" s="548">
        <f t="shared" si="38"/>
        <v>-3.7229827508494795E-3</v>
      </c>
      <c r="O51" s="548">
        <f t="shared" si="38"/>
        <v>3.4362131305896826E-2</v>
      </c>
      <c r="P51" s="548">
        <f t="shared" si="38"/>
        <v>6.1370569428921273E-2</v>
      </c>
      <c r="Q51" s="548">
        <f t="shared" si="38"/>
        <v>8.7033384853564266E-2</v>
      </c>
      <c r="R51" s="548">
        <f t="shared" si="38"/>
        <v>9.5906086972182836E-2</v>
      </c>
      <c r="V51" s="516" t="s">
        <v>671</v>
      </c>
      <c r="W51" s="557">
        <f ca="1">'Capex &amp; Opex'!AB134</f>
        <v>0.30399671631539521</v>
      </c>
    </row>
    <row r="52" spans="1:24" ht="22.15" customHeight="1" x14ac:dyDescent="0.3">
      <c r="D52" s="596">
        <f t="shared" ca="1" si="31"/>
        <v>1.2</v>
      </c>
      <c r="E52" s="548"/>
      <c r="F52" s="548">
        <f t="shared" ref="F52:R52" si="39">F19/E19-1</f>
        <v>-0.36253722695195556</v>
      </c>
      <c r="G52" s="548">
        <f t="shared" si="39"/>
        <v>-0.13036387505622582</v>
      </c>
      <c r="H52" s="548">
        <f t="shared" si="39"/>
        <v>-0.12466289981426237</v>
      </c>
      <c r="I52" s="548">
        <f t="shared" si="39"/>
        <v>-5.3273776006780516E-2</v>
      </c>
      <c r="J52" s="548">
        <f t="shared" si="39"/>
        <v>-3.5807988485319409E-2</v>
      </c>
      <c r="K52" s="548">
        <f t="shared" si="39"/>
        <v>-2.4540486186983679E-2</v>
      </c>
      <c r="L52" s="548">
        <f t="shared" si="39"/>
        <v>-1.7184848831064969E-2</v>
      </c>
      <c r="M52" s="548">
        <f t="shared" si="39"/>
        <v>-3.7264686538964642E-2</v>
      </c>
      <c r="N52" s="548">
        <f t="shared" si="39"/>
        <v>3.5682928281826065E-3</v>
      </c>
      <c r="O52" s="548">
        <f t="shared" si="39"/>
        <v>3.0887066411018349E-2</v>
      </c>
      <c r="P52" s="548">
        <f t="shared" si="39"/>
        <v>6.2648098120325235E-2</v>
      </c>
      <c r="Q52" s="548">
        <f t="shared" si="39"/>
        <v>8.3986233531753607E-2</v>
      </c>
      <c r="R52" s="548">
        <f t="shared" si="39"/>
        <v>9.6768790201857913E-2</v>
      </c>
      <c r="V52" s="516" t="s">
        <v>672</v>
      </c>
      <c r="W52" s="555">
        <f ca="1">'Capex &amp; Opex'!Z134</f>
        <v>0.73695299005652026</v>
      </c>
    </row>
    <row r="53" spans="1:24" ht="22.15" customHeight="1" x14ac:dyDescent="0.3">
      <c r="D53" s="596">
        <f t="shared" ca="1" si="31"/>
        <v>1.3</v>
      </c>
      <c r="E53" s="548"/>
      <c r="F53" s="548">
        <f t="shared" ref="F53:R53" si="40">F20/E20-1</f>
        <v>-0.36004584857638777</v>
      </c>
      <c r="G53" s="548">
        <f t="shared" si="40"/>
        <v>-0.15066373066169281</v>
      </c>
      <c r="H53" s="548">
        <f t="shared" si="40"/>
        <v>-0.12742342840751819</v>
      </c>
      <c r="I53" s="548">
        <f t="shared" si="40"/>
        <v>-5.1850660158067385E-2</v>
      </c>
      <c r="J53" s="548">
        <f t="shared" si="40"/>
        <v>-3.6474964557281608E-2</v>
      </c>
      <c r="K53" s="548">
        <f t="shared" si="40"/>
        <v>-2.663717788366482E-2</v>
      </c>
      <c r="L53" s="548">
        <f t="shared" si="40"/>
        <v>-1.8971845874753424E-2</v>
      </c>
      <c r="M53" s="548">
        <f t="shared" si="40"/>
        <v>-2.9319634360918778E-2</v>
      </c>
      <c r="N53" s="548">
        <f t="shared" si="40"/>
        <v>3.8239480289570249E-3</v>
      </c>
      <c r="O53" s="548">
        <f t="shared" si="40"/>
        <v>3.2501436207533763E-2</v>
      </c>
      <c r="P53" s="548">
        <f t="shared" si="40"/>
        <v>5.2880239581607924E-2</v>
      </c>
      <c r="Q53" s="548">
        <f t="shared" si="40"/>
        <v>8.4672813743921438E-2</v>
      </c>
      <c r="R53" s="548">
        <f t="shared" si="40"/>
        <v>9.8934623259827825E-2</v>
      </c>
      <c r="V53" s="516" t="s">
        <v>605</v>
      </c>
      <c r="W53" s="555">
        <f ca="1">Mp/wing_area</f>
        <v>36.38079604328</v>
      </c>
    </row>
    <row r="54" spans="1:24" ht="22.15" customHeight="1" x14ac:dyDescent="0.3">
      <c r="D54" s="596">
        <f t="shared" ca="1" si="31"/>
        <v>1.4</v>
      </c>
      <c r="E54" s="548"/>
      <c r="F54" s="548">
        <f t="shared" ref="F54:R54" si="41">F21/E21-1</f>
        <v>-0.37003158401459224</v>
      </c>
      <c r="G54" s="548">
        <f t="shared" si="41"/>
        <v>-0.13906689237841974</v>
      </c>
      <c r="H54" s="548">
        <f t="shared" si="41"/>
        <v>-0.13093754641032362</v>
      </c>
      <c r="I54" s="548">
        <f t="shared" si="41"/>
        <v>-5.6111959110062615E-2</v>
      </c>
      <c r="J54" s="548">
        <f t="shared" si="41"/>
        <v>-4.0132264979981791E-2</v>
      </c>
      <c r="K54" s="548">
        <f t="shared" si="41"/>
        <v>-2.6453239408760876E-2</v>
      </c>
      <c r="L54" s="548">
        <f t="shared" si="41"/>
        <v>-1.8890703386472918E-2</v>
      </c>
      <c r="M54" s="548">
        <f t="shared" si="41"/>
        <v>-2.9590636696677608E-2</v>
      </c>
      <c r="N54" s="548">
        <f t="shared" si="41"/>
        <v>-8.873846428707477E-3</v>
      </c>
      <c r="O54" s="548">
        <f t="shared" si="41"/>
        <v>2.9543941702293131E-2</v>
      </c>
      <c r="P54" s="548">
        <f t="shared" si="41"/>
        <v>6.1894758615368195E-2</v>
      </c>
      <c r="Q54" s="548">
        <f t="shared" si="41"/>
        <v>8.4545379002170185E-2</v>
      </c>
      <c r="R54" s="548">
        <f t="shared" si="41"/>
        <v>9.992938143168284E-2</v>
      </c>
      <c r="V54" s="516" t="s">
        <v>606</v>
      </c>
      <c r="W54" s="555">
        <f ca="1">Mp/P</f>
        <v>2.9104636834624</v>
      </c>
    </row>
    <row r="55" spans="1:24" ht="22.15" customHeight="1" x14ac:dyDescent="0.3">
      <c r="D55" s="596">
        <f t="shared" ca="1" si="31"/>
        <v>1.5</v>
      </c>
      <c r="E55" s="548"/>
      <c r="F55" s="548">
        <f t="shared" ref="F55:R55" si="42">F22/E22-1</f>
        <v>-0.38429243297144378</v>
      </c>
      <c r="G55" s="548">
        <f t="shared" si="42"/>
        <v>-0.14428807004343569</v>
      </c>
      <c r="H55" s="548">
        <f t="shared" si="42"/>
        <v>-0.13410759359308455</v>
      </c>
      <c r="I55" s="548">
        <f t="shared" si="42"/>
        <v>-4.2266921760047871E-2</v>
      </c>
      <c r="J55" s="548">
        <f t="shared" si="42"/>
        <v>-4.1648653517254441E-2</v>
      </c>
      <c r="K55" s="548">
        <f t="shared" si="42"/>
        <v>-3.9036011088102729E-2</v>
      </c>
      <c r="L55" s="548">
        <f t="shared" si="42"/>
        <v>-2.0595714595345371E-2</v>
      </c>
      <c r="M55" s="548">
        <f t="shared" si="42"/>
        <v>-3.3811327698546778E-2</v>
      </c>
      <c r="N55" s="548">
        <f t="shared" si="42"/>
        <v>1.6002035084246025E-3</v>
      </c>
      <c r="O55" s="548">
        <f t="shared" si="42"/>
        <v>2.9709699964781899E-2</v>
      </c>
      <c r="P55" s="548">
        <f t="shared" si="42"/>
        <v>5.4729134287462511E-2</v>
      </c>
      <c r="Q55" s="548">
        <f t="shared" si="42"/>
        <v>8.5399271287436962E-2</v>
      </c>
      <c r="R55" s="548">
        <f t="shared" si="42"/>
        <v>0.10221406978416936</v>
      </c>
      <c r="V55" s="516" t="s">
        <v>642</v>
      </c>
      <c r="W55" s="555">
        <f ca="1">Mp/1000</f>
        <v>0.43656955251936003</v>
      </c>
    </row>
    <row r="56" spans="1:24" ht="22.15" customHeight="1" x14ac:dyDescent="0.3">
      <c r="D56" s="596">
        <f t="shared" ca="1" si="31"/>
        <v>1.6</v>
      </c>
      <c r="E56" s="548"/>
      <c r="F56" s="548">
        <f t="shared" ref="F56:R56" si="43">F23/E23-1</f>
        <v>-0.38393354990573592</v>
      </c>
      <c r="G56" s="548">
        <f t="shared" si="43"/>
        <v>-0.14959175911150235</v>
      </c>
      <c r="H56" s="548">
        <f t="shared" si="43"/>
        <v>-0.13695958212922987</v>
      </c>
      <c r="I56" s="548">
        <f t="shared" si="43"/>
        <v>-5.9183914710734697E-2</v>
      </c>
      <c r="J56" s="548">
        <f t="shared" si="43"/>
        <v>-4.3309233810498338E-2</v>
      </c>
      <c r="K56" s="548">
        <f t="shared" si="43"/>
        <v>-2.91945380537183E-2</v>
      </c>
      <c r="L56" s="548">
        <f t="shared" si="43"/>
        <v>-2.0395970587543499E-2</v>
      </c>
      <c r="M56" s="548">
        <f t="shared" si="43"/>
        <v>-3.3677551535442829E-2</v>
      </c>
      <c r="N56" s="548">
        <f t="shared" si="43"/>
        <v>-9.2659607996885551E-3</v>
      </c>
      <c r="O56" s="548">
        <f t="shared" si="43"/>
        <v>2.8032447078528033E-2</v>
      </c>
      <c r="P56" s="548">
        <f t="shared" si="43"/>
        <v>6.0921077407344537E-2</v>
      </c>
      <c r="Q56" s="548">
        <f t="shared" si="43"/>
        <v>8.5564503332236086E-2</v>
      </c>
      <c r="R56" s="548">
        <f t="shared" si="43"/>
        <v>0.10348760206059615</v>
      </c>
      <c r="V56" s="516" t="s">
        <v>1009</v>
      </c>
      <c r="W56" s="555">
        <f ca="1">'Capex &amp; Opex'!$N$25/1000</f>
        <v>0.29128964583540645</v>
      </c>
    </row>
    <row r="57" spans="1:24" ht="22.15" customHeight="1" x14ac:dyDescent="0.3">
      <c r="D57" s="596">
        <f t="shared" ca="1" si="31"/>
        <v>1.8</v>
      </c>
      <c r="E57" s="548"/>
      <c r="F57" s="548">
        <f t="shared" ref="F57:R57" si="44">F24/E24-1</f>
        <v>-0.40142127398920235</v>
      </c>
      <c r="G57" s="548">
        <f t="shared" si="44"/>
        <v>-0.15986042801059741</v>
      </c>
      <c r="H57" s="548">
        <f t="shared" si="44"/>
        <v>-0.13237708486409772</v>
      </c>
      <c r="I57" s="548">
        <f t="shared" si="44"/>
        <v>-6.2654873045694504E-2</v>
      </c>
      <c r="J57" s="548">
        <f t="shared" si="44"/>
        <v>-4.5563507712202966E-2</v>
      </c>
      <c r="K57" s="548">
        <f t="shared" si="44"/>
        <v>-3.2808613264508901E-2</v>
      </c>
      <c r="L57" s="548">
        <f t="shared" si="44"/>
        <v>-2.1922843790154634E-2</v>
      </c>
      <c r="M57" s="548">
        <f t="shared" si="44"/>
        <v>-3.7261596222282978E-2</v>
      </c>
      <c r="N57" s="548">
        <f t="shared" si="44"/>
        <v>-9.3709988237776765E-3</v>
      </c>
      <c r="O57" s="548">
        <f t="shared" si="44"/>
        <v>2.6731358980703002E-2</v>
      </c>
      <c r="P57" s="548">
        <f t="shared" si="44"/>
        <v>6.0893482963318979E-2</v>
      </c>
      <c r="Q57" s="548">
        <f t="shared" si="44"/>
        <v>8.5757625509530033E-2</v>
      </c>
      <c r="R57" s="548">
        <f t="shared" si="44"/>
        <v>0.10598938387829837</v>
      </c>
      <c r="V57" s="516" t="s">
        <v>655</v>
      </c>
      <c r="W57" s="555">
        <f ca="1">'Capex &amp; Opex'!X196</f>
        <v>5.4405461696828944E-2</v>
      </c>
    </row>
    <row r="58" spans="1:24" ht="22.15" customHeight="1" x14ac:dyDescent="0.3">
      <c r="D58" s="596">
        <f t="shared" ca="1" si="31"/>
        <v>2</v>
      </c>
      <c r="E58" s="548"/>
      <c r="F58" s="548">
        <f t="shared" ref="F58:R58" si="45">F25/E25-1</f>
        <v>-0.41230177360152154</v>
      </c>
      <c r="G58" s="548">
        <f t="shared" si="45"/>
        <v>-0.16711806940943374</v>
      </c>
      <c r="H58" s="548">
        <f t="shared" si="45"/>
        <v>-0.14102797063389705</v>
      </c>
      <c r="I58" s="548">
        <f t="shared" si="45"/>
        <v>-6.5728850306151498E-2</v>
      </c>
      <c r="J58" s="548">
        <f t="shared" si="45"/>
        <v>-4.7719329279215961E-2</v>
      </c>
      <c r="K58" s="548">
        <f t="shared" si="45"/>
        <v>-3.5246508685824685E-2</v>
      </c>
      <c r="L58" s="548">
        <f t="shared" si="45"/>
        <v>-2.3667712610731639E-2</v>
      </c>
      <c r="M58" s="548">
        <f t="shared" si="45"/>
        <v>-4.1328574832318998E-2</v>
      </c>
      <c r="N58" s="548">
        <f t="shared" si="45"/>
        <v>-9.9683906395383604E-3</v>
      </c>
      <c r="O58" s="548">
        <f t="shared" si="45"/>
        <v>2.5626214197157271E-2</v>
      </c>
      <c r="P58" s="548">
        <f t="shared" si="45"/>
        <v>6.1463140944451267E-2</v>
      </c>
      <c r="Q58" s="548">
        <f t="shared" si="45"/>
        <v>8.5689514832173241E-2</v>
      </c>
      <c r="R58" s="548">
        <f t="shared" si="45"/>
        <v>0.10990895382197063</v>
      </c>
      <c r="V58" s="516" t="s">
        <v>673</v>
      </c>
      <c r="W58" s="555">
        <f ca="1">'Capex &amp; Opex'!X191</f>
        <v>4.6375599405246416E-2</v>
      </c>
    </row>
    <row r="59" spans="1:24" ht="22.15" customHeight="1" x14ac:dyDescent="0.3">
      <c r="V59" s="516" t="s">
        <v>656</v>
      </c>
      <c r="W59" s="557">
        <f ca="1">'Capex &amp; Opex'!AA191</f>
        <v>0.8524070554473292</v>
      </c>
      <c r="X59" s="522"/>
    </row>
    <row r="60" spans="1:24" ht="22.15" customHeight="1" x14ac:dyDescent="0.3">
      <c r="D60" s="562">
        <f ca="1">IFERROR(indicator_value,0)</f>
        <v>97.766902413760249</v>
      </c>
      <c r="E60" s="596">
        <f t="shared" ref="E60:R60" ca="1" si="46">E44</f>
        <v>12</v>
      </c>
      <c r="F60" s="596">
        <f t="shared" ca="1" si="46"/>
        <v>25</v>
      </c>
      <c r="G60" s="596">
        <f t="shared" ca="1" si="46"/>
        <v>35</v>
      </c>
      <c r="H60" s="596">
        <f t="shared" ca="1" si="46"/>
        <v>50</v>
      </c>
      <c r="I60" s="596">
        <f t="shared" ca="1" si="46"/>
        <v>60</v>
      </c>
      <c r="J60" s="596">
        <f t="shared" ca="1" si="46"/>
        <v>70</v>
      </c>
      <c r="K60" s="596">
        <f t="shared" ca="1" si="46"/>
        <v>80</v>
      </c>
      <c r="L60" s="596">
        <f t="shared" ca="1" si="46"/>
        <v>90</v>
      </c>
      <c r="M60" s="596">
        <f t="shared" ca="1" si="46"/>
        <v>125</v>
      </c>
      <c r="N60" s="596">
        <f t="shared" ca="1" si="46"/>
        <v>150</v>
      </c>
      <c r="O60" s="596">
        <f t="shared" ca="1" si="46"/>
        <v>200</v>
      </c>
      <c r="P60" s="596">
        <f t="shared" ca="1" si="46"/>
        <v>250</v>
      </c>
      <c r="Q60" s="596">
        <f t="shared" ca="1" si="46"/>
        <v>300</v>
      </c>
      <c r="R60" s="596">
        <f t="shared" ca="1" si="46"/>
        <v>350</v>
      </c>
      <c r="V60" s="516" t="s">
        <v>674</v>
      </c>
      <c r="W60" s="555">
        <f ca="1">'Capex &amp; Opex'!X192</f>
        <v>8.0298622915825294E-3</v>
      </c>
      <c r="X60" s="522"/>
    </row>
    <row r="61" spans="1:24" ht="22.15" customHeight="1" x14ac:dyDescent="0.3">
      <c r="D61" s="596">
        <f t="shared" ref="D61:D74" ca="1" si="47">D45</f>
        <v>0.5</v>
      </c>
      <c r="E61" s="548"/>
      <c r="F61" s="548"/>
      <c r="G61" s="548"/>
      <c r="H61" s="548"/>
      <c r="I61" s="548"/>
      <c r="J61" s="548"/>
      <c r="K61" s="548"/>
      <c r="L61" s="548"/>
      <c r="M61" s="548"/>
      <c r="N61" s="548"/>
      <c r="O61" s="548"/>
      <c r="P61" s="548"/>
      <c r="Q61" s="548"/>
      <c r="R61" s="548"/>
      <c r="V61" s="516" t="s">
        <v>675</v>
      </c>
      <c r="W61" s="557">
        <f ca="1">'Capex &amp; Opex'!AA192</f>
        <v>0.1475929445526708</v>
      </c>
      <c r="X61" s="522"/>
    </row>
    <row r="62" spans="1:24" ht="22.15" customHeight="1" x14ac:dyDescent="0.3">
      <c r="D62" s="596">
        <f t="shared" ca="1" si="47"/>
        <v>0.6</v>
      </c>
      <c r="E62" s="548">
        <f t="shared" ref="E62:R62" si="48">E13/E12-1</f>
        <v>-8.1907041373448397E-2</v>
      </c>
      <c r="F62" s="548">
        <f t="shared" si="48"/>
        <v>-6.7767407081182784E-2</v>
      </c>
      <c r="G62" s="548">
        <f t="shared" si="48"/>
        <v>-6.7682962463379681E-2</v>
      </c>
      <c r="H62" s="548">
        <f t="shared" si="48"/>
        <v>-7.1159082237950755E-2</v>
      </c>
      <c r="I62" s="548">
        <f t="shared" si="48"/>
        <v>-7.3188046163489284E-2</v>
      </c>
      <c r="J62" s="548">
        <f t="shared" si="48"/>
        <v>-7.3905784871451274E-2</v>
      </c>
      <c r="K62" s="548">
        <f t="shared" si="48"/>
        <v>-7.4752497222530634E-2</v>
      </c>
      <c r="L62" s="548">
        <f t="shared" si="48"/>
        <v>-7.5351402694209813E-2</v>
      </c>
      <c r="M62" s="548">
        <f t="shared" si="48"/>
        <v>-7.8747988996343055E-2</v>
      </c>
      <c r="N62" s="548">
        <f t="shared" si="48"/>
        <v>-7.5652618036823549E-2</v>
      </c>
      <c r="O62" s="548">
        <f t="shared" si="48"/>
        <v>-8.1410384541965031E-2</v>
      </c>
      <c r="P62" s="548">
        <f t="shared" si="48"/>
        <v>-8.6837706045613139E-2</v>
      </c>
      <c r="Q62" s="548">
        <f t="shared" si="48"/>
        <v>-8.9373649023198665E-2</v>
      </c>
      <c r="R62" s="548">
        <f t="shared" si="48"/>
        <v>-8.6965883702112556E-2</v>
      </c>
      <c r="V62" s="516" t="s">
        <v>730</v>
      </c>
      <c r="W62" s="555">
        <f ca="1">DevCost!AP246/1000</f>
        <v>46.922471347251218</v>
      </c>
      <c r="X62" s="522"/>
    </row>
    <row r="63" spans="1:24" ht="22.15" customHeight="1" x14ac:dyDescent="0.3">
      <c r="D63" s="596">
        <f t="shared" ca="1" si="47"/>
        <v>0.7</v>
      </c>
      <c r="E63" s="548">
        <f t="shared" ref="E63:R63" si="49">E14/E13-1</f>
        <v>-3.5484045871738368E-2</v>
      </c>
      <c r="F63" s="548">
        <f t="shared" si="49"/>
        <v>-5.622069451154843E-2</v>
      </c>
      <c r="G63" s="548">
        <f t="shared" si="49"/>
        <v>-5.6639634438375053E-2</v>
      </c>
      <c r="H63" s="548">
        <f t="shared" si="49"/>
        <v>-4.0288047908714097E-2</v>
      </c>
      <c r="I63" s="548">
        <f t="shared" si="49"/>
        <v>-3.0885862525964702E-2</v>
      </c>
      <c r="J63" s="548">
        <f t="shared" si="49"/>
        <v>-4.6253913288257675E-2</v>
      </c>
      <c r="K63" s="548">
        <f t="shared" si="49"/>
        <v>-4.8152902116346263E-2</v>
      </c>
      <c r="L63" s="548">
        <f t="shared" si="49"/>
        <v>-4.9844277621471367E-2</v>
      </c>
      <c r="M63" s="548">
        <f t="shared" si="49"/>
        <v>-3.9711884965656474E-2</v>
      </c>
      <c r="N63" s="548">
        <f t="shared" si="49"/>
        <v>-5.2432184966311302E-2</v>
      </c>
      <c r="O63" s="548">
        <f t="shared" si="49"/>
        <v>-5.739987863531415E-2</v>
      </c>
      <c r="P63" s="548">
        <f t="shared" si="49"/>
        <v>-5.3690983176141294E-2</v>
      </c>
      <c r="Q63" s="548">
        <f t="shared" si="49"/>
        <v>-6.0047040412207875E-2</v>
      </c>
      <c r="R63" s="548">
        <f t="shared" si="49"/>
        <v>-6.3319915618701761E-2</v>
      </c>
      <c r="V63" s="516" t="s">
        <v>729</v>
      </c>
      <c r="W63" s="555">
        <f ca="1">'Program BP'!L11</f>
        <v>1.6907130550979269E-2</v>
      </c>
      <c r="X63" s="522"/>
    </row>
    <row r="64" spans="1:24" ht="22.15" customHeight="1" x14ac:dyDescent="0.3">
      <c r="D64" s="596">
        <f t="shared" ca="1" si="47"/>
        <v>0.8</v>
      </c>
      <c r="E64" s="548">
        <f t="shared" ref="E64:R64" si="50">E15/E14-1</f>
        <v>-2.6516506614432833E-2</v>
      </c>
      <c r="F64" s="548">
        <f t="shared" si="50"/>
        <v>-2.02893523174974E-2</v>
      </c>
      <c r="G64" s="548">
        <f t="shared" si="50"/>
        <v>-2.1648984978002273E-2</v>
      </c>
      <c r="H64" s="548">
        <f t="shared" si="50"/>
        <v>-3.8642319817491222E-2</v>
      </c>
      <c r="I64" s="548">
        <f t="shared" si="50"/>
        <v>-3.8692078391017959E-2</v>
      </c>
      <c r="J64" s="548">
        <f t="shared" si="50"/>
        <v>-2.6352772073324315E-2</v>
      </c>
      <c r="K64" s="548">
        <f t="shared" si="50"/>
        <v>-2.7927796512793868E-2</v>
      </c>
      <c r="L64" s="548">
        <f t="shared" si="50"/>
        <v>-2.8434626505420946E-2</v>
      </c>
      <c r="M64" s="548">
        <f t="shared" si="50"/>
        <v>-4.1893723896393231E-2</v>
      </c>
      <c r="N64" s="548">
        <f t="shared" si="50"/>
        <v>-3.304735980556428E-2</v>
      </c>
      <c r="O64" s="548">
        <f t="shared" si="50"/>
        <v>-3.5686362486597734E-2</v>
      </c>
      <c r="P64" s="548">
        <f t="shared" si="50"/>
        <v>-4.0496750582550312E-2</v>
      </c>
      <c r="Q64" s="548">
        <f t="shared" si="50"/>
        <v>-4.211195505794052E-2</v>
      </c>
      <c r="R64" s="548">
        <f t="shared" si="50"/>
        <v>-4.2133862196808924E-2</v>
      </c>
      <c r="V64" s="516" t="s">
        <v>787</v>
      </c>
      <c r="W64" s="555">
        <f ca="1">'LCOE analysis'!J92</f>
        <v>91.179438951817573</v>
      </c>
    </row>
    <row r="65" spans="4:23" ht="22.15" customHeight="1" x14ac:dyDescent="0.3">
      <c r="D65" s="596">
        <f t="shared" ca="1" si="47"/>
        <v>0.9</v>
      </c>
      <c r="E65" s="548">
        <f t="shared" ref="E65:R65" si="51">E16/E15-1</f>
        <v>6.8436354503798036E-3</v>
      </c>
      <c r="F65" s="548">
        <f t="shared" si="51"/>
        <v>2.0576881159073412E-3</v>
      </c>
      <c r="G65" s="548">
        <f t="shared" si="51"/>
        <v>-5.20997252476052E-3</v>
      </c>
      <c r="H65" s="548">
        <f t="shared" si="51"/>
        <v>-8.0870940726667229E-3</v>
      </c>
      <c r="I65" s="548">
        <f t="shared" si="51"/>
        <v>-8.4842272014531428E-3</v>
      </c>
      <c r="J65" s="548">
        <f t="shared" si="51"/>
        <v>-9.5321195623446764E-3</v>
      </c>
      <c r="K65" s="548">
        <f t="shared" si="51"/>
        <v>-9.9427953751779485E-3</v>
      </c>
      <c r="L65" s="548">
        <f t="shared" si="51"/>
        <v>-1.1501030658573996E-2</v>
      </c>
      <c r="M65" s="548">
        <f t="shared" si="51"/>
        <v>-1.7574580893194303E-2</v>
      </c>
      <c r="N65" s="548">
        <f t="shared" si="51"/>
        <v>-1.5612436681184505E-2</v>
      </c>
      <c r="O65" s="548">
        <f t="shared" si="51"/>
        <v>-2.0573782289412423E-2</v>
      </c>
      <c r="P65" s="548">
        <f t="shared" si="51"/>
        <v>-2.3221439706954117E-2</v>
      </c>
      <c r="Q65" s="548">
        <f t="shared" si="51"/>
        <v>-2.4068601583234539E-2</v>
      </c>
      <c r="R65" s="548">
        <f t="shared" si="51"/>
        <v>-2.6575264339668281E-2</v>
      </c>
      <c r="V65" s="516" t="s">
        <v>751</v>
      </c>
      <c r="W65" s="553">
        <f ca="1">'LCOE analysis'!J95</f>
        <v>97.766902413760249</v>
      </c>
    </row>
    <row r="66" spans="4:23" ht="22.15" customHeight="1" x14ac:dyDescent="0.3">
      <c r="D66" s="596">
        <f t="shared" ca="1" si="47"/>
        <v>1</v>
      </c>
      <c r="E66" s="548">
        <f t="shared" ref="E66:R66" si="52">E17/E16-1</f>
        <v>3.0322523351817843E-3</v>
      </c>
      <c r="F66" s="548">
        <f t="shared" si="52"/>
        <v>-8.9250556507988188E-3</v>
      </c>
      <c r="G66" s="548">
        <f t="shared" si="52"/>
        <v>-9.0636411081660428E-3</v>
      </c>
      <c r="H66" s="548">
        <f t="shared" si="52"/>
        <v>2.3643397541217581E-3</v>
      </c>
      <c r="I66" s="548">
        <f t="shared" si="52"/>
        <v>-7.0374953691720865E-4</v>
      </c>
      <c r="J66" s="548">
        <f t="shared" si="52"/>
        <v>4.9871354264041656E-6</v>
      </c>
      <c r="K66" s="548">
        <f t="shared" si="52"/>
        <v>6.3930371647491491E-4</v>
      </c>
      <c r="L66" s="548">
        <f t="shared" si="52"/>
        <v>6.8069252843616646E-4</v>
      </c>
      <c r="M66" s="548">
        <f t="shared" si="52"/>
        <v>-6.8485478391544508E-3</v>
      </c>
      <c r="N66" s="548">
        <f t="shared" si="52"/>
        <v>-6.3361194194222481E-3</v>
      </c>
      <c r="O66" s="548">
        <f t="shared" si="52"/>
        <v>-1.3977445482536321E-2</v>
      </c>
      <c r="P66" s="548">
        <f t="shared" si="52"/>
        <v>-1.5135504538374644E-2</v>
      </c>
      <c r="Q66" s="548">
        <f t="shared" si="52"/>
        <v>-1.1714614874615226E-2</v>
      </c>
      <c r="R66" s="548">
        <f t="shared" si="52"/>
        <v>-1.076117698404544E-2</v>
      </c>
      <c r="V66" s="516" t="s">
        <v>732</v>
      </c>
      <c r="W66" s="555">
        <f ca="1">'Capex &amp; Opex'!Y196/1000</f>
        <v>2.4482457763573025E-4</v>
      </c>
    </row>
    <row r="67" spans="4:23" ht="22.15" customHeight="1" x14ac:dyDescent="0.3">
      <c r="D67" s="596">
        <f t="shared" ca="1" si="47"/>
        <v>1.1000000000000001</v>
      </c>
      <c r="E67" s="548">
        <f t="shared" ref="E67:R67" si="53">E18/E17-1</f>
        <v>1.6877271544051053E-2</v>
      </c>
      <c r="F67" s="548">
        <f t="shared" si="53"/>
        <v>2.358602895456885E-2</v>
      </c>
      <c r="G67" s="548">
        <f t="shared" si="53"/>
        <v>1.7702346537518121E-2</v>
      </c>
      <c r="H67" s="548">
        <f t="shared" si="53"/>
        <v>-3.5176981928956019E-3</v>
      </c>
      <c r="I67" s="548">
        <f t="shared" si="53"/>
        <v>-2.4917268769165668E-3</v>
      </c>
      <c r="J67" s="548">
        <f t="shared" si="53"/>
        <v>-3.7951747675428749E-3</v>
      </c>
      <c r="K67" s="548">
        <f t="shared" si="53"/>
        <v>-6.6300828540958312E-3</v>
      </c>
      <c r="L67" s="548">
        <f t="shared" si="53"/>
        <v>-7.9601003719395047E-3</v>
      </c>
      <c r="M67" s="548">
        <f t="shared" si="53"/>
        <v>5.2489432875844066E-3</v>
      </c>
      <c r="N67" s="548">
        <f t="shared" si="53"/>
        <v>-8.940960070823234E-3</v>
      </c>
      <c r="O67" s="548">
        <f t="shared" si="53"/>
        <v>-1.5090130984051209E-3</v>
      </c>
      <c r="P67" s="548">
        <f t="shared" si="53"/>
        <v>-3.4227603148433428E-3</v>
      </c>
      <c r="Q67" s="548">
        <f t="shared" si="53"/>
        <v>8.0459587043835157E-5</v>
      </c>
      <c r="R67" s="548">
        <f t="shared" si="53"/>
        <v>-3.6753445383329586E-3</v>
      </c>
      <c r="V67" s="516" t="s">
        <v>733</v>
      </c>
      <c r="W67" s="555">
        <f ca="1">PMT(Project_WACC,horizon,-W50)</f>
        <v>1.2018192511077817E-3</v>
      </c>
    </row>
    <row r="68" spans="4:23" ht="22.15" customHeight="1" x14ac:dyDescent="0.3">
      <c r="D68" s="596">
        <f t="shared" ca="1" si="47"/>
        <v>1.2</v>
      </c>
      <c r="E68" s="548">
        <f t="shared" ref="E68:R68" si="54">E19/E18-1</f>
        <v>3.7369041066312114E-2</v>
      </c>
      <c r="F68" s="548">
        <f t="shared" si="54"/>
        <v>9.8658367502040267E-3</v>
      </c>
      <c r="G68" s="548">
        <f t="shared" si="54"/>
        <v>2.6342144308274529E-2</v>
      </c>
      <c r="H68" s="548">
        <f t="shared" si="54"/>
        <v>2.2804833325164697E-2</v>
      </c>
      <c r="I68" s="548">
        <f t="shared" si="54"/>
        <v>1.7015143571506464E-2</v>
      </c>
      <c r="J68" s="548">
        <f t="shared" si="54"/>
        <v>1.4779442456393621E-2</v>
      </c>
      <c r="K68" s="548">
        <f t="shared" si="54"/>
        <v>1.5680256331375375E-2</v>
      </c>
      <c r="L68" s="548">
        <f t="shared" si="54"/>
        <v>1.6044751631894894E-2</v>
      </c>
      <c r="M68" s="548">
        <f t="shared" si="54"/>
        <v>1.7335850645281425E-3</v>
      </c>
      <c r="N68" s="548">
        <f t="shared" si="54"/>
        <v>9.0647946568607196E-3</v>
      </c>
      <c r="O68" s="548">
        <f t="shared" si="54"/>
        <v>5.6747192292705417E-3</v>
      </c>
      <c r="P68" s="548">
        <f t="shared" si="54"/>
        <v>6.8852090855384684E-3</v>
      </c>
      <c r="Q68" s="548">
        <f t="shared" si="54"/>
        <v>4.0627276065634543E-3</v>
      </c>
      <c r="R68" s="548">
        <f t="shared" si="54"/>
        <v>4.8531312444295427E-3</v>
      </c>
      <c r="V68" s="516" t="s">
        <v>1697</v>
      </c>
      <c r="W68" s="558">
        <f ca="1">AEP/1000</f>
        <v>0.52886332173637285</v>
      </c>
    </row>
    <row r="69" spans="4:23" ht="22.15" customHeight="1" x14ac:dyDescent="0.3">
      <c r="D69" s="596">
        <f t="shared" ca="1" si="47"/>
        <v>1.3</v>
      </c>
      <c r="E69" s="548">
        <f t="shared" ref="E69:R69" si="55">E20/E19-1</f>
        <v>3.3265973871693832E-2</v>
      </c>
      <c r="F69" s="548">
        <f t="shared" si="55"/>
        <v>3.7304259105520154E-2</v>
      </c>
      <c r="G69" s="548">
        <f t="shared" si="55"/>
        <v>1.3090537900988242E-2</v>
      </c>
      <c r="H69" s="548">
        <f t="shared" si="55"/>
        <v>9.895579756475481E-3</v>
      </c>
      <c r="I69" s="548">
        <f t="shared" si="55"/>
        <v>1.1413651579853079E-2</v>
      </c>
      <c r="J69" s="548">
        <f t="shared" si="55"/>
        <v>1.071401012213169E-2</v>
      </c>
      <c r="K69" s="548">
        <f t="shared" si="55"/>
        <v>8.5415410009286319E-3</v>
      </c>
      <c r="L69" s="548">
        <f t="shared" si="55"/>
        <v>6.7077671218200852E-3</v>
      </c>
      <c r="M69" s="548">
        <f t="shared" si="55"/>
        <v>1.501570558215648E-2</v>
      </c>
      <c r="N69" s="548">
        <f t="shared" si="55"/>
        <v>1.5274276967735423E-2</v>
      </c>
      <c r="O69" s="548">
        <f t="shared" si="55"/>
        <v>1.686419712613052E-2</v>
      </c>
      <c r="P69" s="548">
        <f t="shared" si="55"/>
        <v>7.5171840856105288E-3</v>
      </c>
      <c r="Q69" s="548">
        <f t="shared" si="55"/>
        <v>8.155329977702408E-3</v>
      </c>
      <c r="R69" s="548">
        <f t="shared" si="55"/>
        <v>1.0146174502766225E-2</v>
      </c>
      <c r="V69" s="516" t="s">
        <v>734</v>
      </c>
      <c r="W69" s="557">
        <f ca="1">CapFac</f>
        <v>0.40220801713922949</v>
      </c>
    </row>
    <row r="70" spans="4:23" ht="22.15" customHeight="1" x14ac:dyDescent="0.3">
      <c r="D70" s="596">
        <f t="shared" ca="1" si="47"/>
        <v>1.4</v>
      </c>
      <c r="E70" s="548">
        <f t="shared" ref="E70:R70" si="56">E21/E20-1</f>
        <v>4.0030626981614414E-2</v>
      </c>
      <c r="F70" s="548">
        <f t="shared" si="56"/>
        <v>2.3802166449613305E-2</v>
      </c>
      <c r="G70" s="548">
        <f t="shared" si="56"/>
        <v>3.7781162269055368E-2</v>
      </c>
      <c r="H70" s="548">
        <f t="shared" si="56"/>
        <v>3.3601717640320494E-2</v>
      </c>
      <c r="I70" s="548">
        <f t="shared" si="56"/>
        <v>2.895636723919548E-2</v>
      </c>
      <c r="J70" s="548">
        <f t="shared" si="56"/>
        <v>2.5050705820532926E-2</v>
      </c>
      <c r="K70" s="548">
        <f t="shared" si="56"/>
        <v>2.5244411866463423E-2</v>
      </c>
      <c r="L70" s="548">
        <f t="shared" si="56"/>
        <v>2.5329211555773945E-2</v>
      </c>
      <c r="M70" s="548">
        <f t="shared" si="56"/>
        <v>2.5042951916566691E-2</v>
      </c>
      <c r="N70" s="548">
        <f t="shared" si="56"/>
        <v>1.2076749287837529E-2</v>
      </c>
      <c r="O70" s="548">
        <f t="shared" si="56"/>
        <v>9.1777592042063816E-3</v>
      </c>
      <c r="P70" s="548">
        <f t="shared" si="56"/>
        <v>1.7818107628267521E-2</v>
      </c>
      <c r="Q70" s="548">
        <f t="shared" si="56"/>
        <v>1.7698527432237654E-2</v>
      </c>
      <c r="R70" s="548">
        <f t="shared" si="56"/>
        <v>1.8619750501581933E-2</v>
      </c>
      <c r="V70" s="516" t="s">
        <v>788</v>
      </c>
      <c r="W70" s="558">
        <f ca="1">P/1000</f>
        <v>0.15</v>
      </c>
    </row>
    <row r="71" spans="4:23" ht="22.15" customHeight="1" x14ac:dyDescent="0.3">
      <c r="D71" s="596">
        <f t="shared" ca="1" si="47"/>
        <v>1.5</v>
      </c>
      <c r="E71" s="548">
        <f t="shared" ref="E71:R71" si="57">E22/E21-1</f>
        <v>5.4208827176516872E-2</v>
      </c>
      <c r="F71" s="548">
        <f t="shared" si="57"/>
        <v>3.0344277031050249E-2</v>
      </c>
      <c r="G71" s="548">
        <f t="shared" si="57"/>
        <v>2.409569571981085E-2</v>
      </c>
      <c r="H71" s="548">
        <f t="shared" si="57"/>
        <v>2.0360139475625205E-2</v>
      </c>
      <c r="I71" s="548">
        <f t="shared" si="57"/>
        <v>3.5326876662153062E-2</v>
      </c>
      <c r="J71" s="548">
        <f t="shared" si="57"/>
        <v>3.3691278599188745E-2</v>
      </c>
      <c r="K71" s="548">
        <f t="shared" si="57"/>
        <v>2.0331158806235372E-2</v>
      </c>
      <c r="L71" s="548">
        <f t="shared" si="57"/>
        <v>1.8557986267221382E-2</v>
      </c>
      <c r="M71" s="548">
        <f t="shared" si="57"/>
        <v>1.4127878015909756E-2</v>
      </c>
      <c r="N71" s="548">
        <f t="shared" si="57"/>
        <v>2.4845006202571351E-2</v>
      </c>
      <c r="O71" s="548">
        <f t="shared" si="57"/>
        <v>2.5010007928740974E-2</v>
      </c>
      <c r="P71" s="548">
        <f t="shared" si="57"/>
        <v>1.8093280456860095E-2</v>
      </c>
      <c r="Q71" s="548">
        <f t="shared" si="57"/>
        <v>1.8894853184655114E-2</v>
      </c>
      <c r="R71" s="548">
        <f t="shared" si="57"/>
        <v>2.1011222874179447E-2</v>
      </c>
      <c r="V71" s="516" t="s">
        <v>768</v>
      </c>
      <c r="W71" s="558">
        <f ca="1">Tmax_p</f>
        <v>42.000000000000007</v>
      </c>
    </row>
    <row r="72" spans="4:23" ht="22.15" customHeight="1" x14ac:dyDescent="0.3">
      <c r="D72" s="596">
        <f t="shared" ca="1" si="47"/>
        <v>1.6</v>
      </c>
      <c r="E72" s="548">
        <f t="shared" ref="E72:R72" si="58">E23/E22-1</f>
        <v>5.0755631613200292E-2</v>
      </c>
      <c r="F72" s="548">
        <f t="shared" si="58"/>
        <v>5.1368095098427657E-2</v>
      </c>
      <c r="G72" s="548">
        <f t="shared" si="58"/>
        <v>4.4851732199559846E-2</v>
      </c>
      <c r="H72" s="548">
        <f t="shared" si="58"/>
        <v>4.1410305597183061E-2</v>
      </c>
      <c r="I72" s="548">
        <f t="shared" si="58"/>
        <v>2.3015273412499315E-2</v>
      </c>
      <c r="J72" s="548">
        <f t="shared" si="58"/>
        <v>2.1242646902450479E-2</v>
      </c>
      <c r="K72" s="548">
        <f t="shared" si="58"/>
        <v>3.1701448779546837E-2</v>
      </c>
      <c r="L72" s="548">
        <f t="shared" si="58"/>
        <v>3.1911858500338619E-2</v>
      </c>
      <c r="M72" s="548">
        <f t="shared" si="58"/>
        <v>3.2054734537958485E-2</v>
      </c>
      <c r="N72" s="548">
        <f t="shared" si="58"/>
        <v>2.0858174991371659E-2</v>
      </c>
      <c r="O72" s="548">
        <f t="shared" si="58"/>
        <v>1.9195339999607874E-2</v>
      </c>
      <c r="P72" s="548">
        <f t="shared" si="58"/>
        <v>2.5178676733346395E-2</v>
      </c>
      <c r="Q72" s="548">
        <f t="shared" si="58"/>
        <v>2.5334741301954677E-2</v>
      </c>
      <c r="R72" s="548">
        <f t="shared" si="58"/>
        <v>2.6519444820977567E-2</v>
      </c>
      <c r="S72" s="548"/>
      <c r="V72" s="516" t="s">
        <v>769</v>
      </c>
      <c r="W72" s="558">
        <f ca="1">Tmax_t</f>
        <v>42.000000000000007</v>
      </c>
    </row>
    <row r="73" spans="4:23" ht="22.15" customHeight="1" x14ac:dyDescent="0.3">
      <c r="D73" s="596">
        <f t="shared" ca="1" si="47"/>
        <v>1.8</v>
      </c>
      <c r="E73" s="548">
        <f t="shared" ref="E73:R73" si="59">E24/E23-1</f>
        <v>0.116395640521052</v>
      </c>
      <c r="F73" s="548">
        <f t="shared" si="59"/>
        <v>8.470552182293134E-2</v>
      </c>
      <c r="G73" s="548">
        <f t="shared" si="59"/>
        <v>7.1607716179629577E-2</v>
      </c>
      <c r="H73" s="548">
        <f t="shared" si="59"/>
        <v>7.729764602185285E-2</v>
      </c>
      <c r="I73" s="548">
        <f t="shared" si="59"/>
        <v>7.3323165459541428E-2</v>
      </c>
      <c r="J73" s="548">
        <f t="shared" si="59"/>
        <v>7.0794067776674074E-2</v>
      </c>
      <c r="K73" s="548">
        <f t="shared" si="59"/>
        <v>6.6807759038304493E-2</v>
      </c>
      <c r="L73" s="548">
        <f t="shared" si="59"/>
        <v>6.5144964551240081E-2</v>
      </c>
      <c r="M73" s="548">
        <f t="shared" si="59"/>
        <v>6.1194391782305235E-2</v>
      </c>
      <c r="N73" s="548">
        <f t="shared" si="59"/>
        <v>6.1081883523098623E-2</v>
      </c>
      <c r="O73" s="548">
        <f t="shared" si="59"/>
        <v>5.9738967729542791E-2</v>
      </c>
      <c r="P73" s="548">
        <f t="shared" si="59"/>
        <v>5.9711404032063875E-2</v>
      </c>
      <c r="Q73" s="548">
        <f t="shared" si="59"/>
        <v>5.9899926936987313E-2</v>
      </c>
      <c r="R73" s="548">
        <f t="shared" si="59"/>
        <v>6.2302888565956449E-2</v>
      </c>
      <c r="S73" s="548"/>
      <c r="V73" s="516" t="s">
        <v>749</v>
      </c>
      <c r="W73" s="558">
        <f ca="1">cable_mass</f>
        <v>48.453516021032392</v>
      </c>
    </row>
    <row r="74" spans="4:23" ht="22.15" customHeight="1" x14ac:dyDescent="0.3">
      <c r="D74" s="596">
        <f t="shared" ca="1" si="47"/>
        <v>2</v>
      </c>
      <c r="E74" s="548">
        <f t="shared" ref="E74:R74" si="60">E25/E24-1</f>
        <v>0.12838327354059165</v>
      </c>
      <c r="F74" s="548">
        <f t="shared" si="60"/>
        <v>0.1078723979668339</v>
      </c>
      <c r="G74" s="548">
        <f t="shared" si="60"/>
        <v>9.8301916051462879E-2</v>
      </c>
      <c r="H74" s="548">
        <f t="shared" si="60"/>
        <v>8.7350978437021443E-2</v>
      </c>
      <c r="I74" s="548">
        <f t="shared" si="60"/>
        <v>8.3785064361475259E-2</v>
      </c>
      <c r="J74" s="548">
        <f t="shared" si="60"/>
        <v>8.1337078314591693E-2</v>
      </c>
      <c r="K74" s="548">
        <f t="shared" si="60"/>
        <v>7.8611468111403404E-2</v>
      </c>
      <c r="L74" s="548">
        <f t="shared" si="60"/>
        <v>7.6687248219061255E-2</v>
      </c>
      <c r="M74" s="548">
        <f t="shared" si="60"/>
        <v>7.2138905708756029E-2</v>
      </c>
      <c r="N74" s="548">
        <f t="shared" si="60"/>
        <v>7.1492359921313531E-2</v>
      </c>
      <c r="O74" s="548">
        <f t="shared" si="60"/>
        <v>7.0339035654144011E-2</v>
      </c>
      <c r="P74" s="548">
        <f t="shared" si="60"/>
        <v>7.091376552473827E-2</v>
      </c>
      <c r="Q74" s="548">
        <f t="shared" si="60"/>
        <v>7.084658601777738E-2</v>
      </c>
      <c r="R74" s="548">
        <f t="shared" si="60"/>
        <v>7.46416116789832E-2</v>
      </c>
      <c r="V74" s="516" t="s">
        <v>750</v>
      </c>
      <c r="W74" s="558">
        <f ca="1">cable_mass*Q/1000</f>
        <v>726.80274031548583</v>
      </c>
    </row>
    <row r="75" spans="4:23" ht="22.15" customHeight="1" x14ac:dyDescent="0.3">
      <c r="V75" s="534" t="s">
        <v>784</v>
      </c>
      <c r="W75" s="613">
        <f ca="1">'LCOE analysis'!J72+'LCOE analysis'!J84</f>
        <v>65.874634619426786</v>
      </c>
    </row>
    <row r="76" spans="4:23" ht="22.15" customHeight="1" x14ac:dyDescent="0.3">
      <c r="D76" s="562">
        <f ca="1">IFERROR(indicator_value,0)</f>
        <v>97.766902413760249</v>
      </c>
      <c r="E76" s="596">
        <f t="shared" ref="E76:R76" ca="1" si="61">E60</f>
        <v>12</v>
      </c>
      <c r="F76" s="596">
        <f t="shared" ca="1" si="61"/>
        <v>25</v>
      </c>
      <c r="G76" s="596">
        <f t="shared" ca="1" si="61"/>
        <v>35</v>
      </c>
      <c r="H76" s="596">
        <f t="shared" ca="1" si="61"/>
        <v>50</v>
      </c>
      <c r="I76" s="596">
        <f t="shared" ca="1" si="61"/>
        <v>60</v>
      </c>
      <c r="J76" s="596">
        <f t="shared" ca="1" si="61"/>
        <v>70</v>
      </c>
      <c r="K76" s="596">
        <f t="shared" ca="1" si="61"/>
        <v>80</v>
      </c>
      <c r="L76" s="596">
        <f t="shared" ca="1" si="61"/>
        <v>90</v>
      </c>
      <c r="M76" s="596">
        <f t="shared" ca="1" si="61"/>
        <v>125</v>
      </c>
      <c r="N76" s="596">
        <f t="shared" ca="1" si="61"/>
        <v>150</v>
      </c>
      <c r="O76" s="596">
        <f t="shared" ca="1" si="61"/>
        <v>200</v>
      </c>
      <c r="P76" s="596">
        <f t="shared" ca="1" si="61"/>
        <v>250</v>
      </c>
      <c r="Q76" s="596">
        <f t="shared" ca="1" si="61"/>
        <v>300</v>
      </c>
      <c r="R76" s="596">
        <f t="shared" ca="1" si="61"/>
        <v>350</v>
      </c>
      <c r="V76" s="534" t="s">
        <v>785</v>
      </c>
      <c r="W76" s="613">
        <f ca="1">'LCOE analysis'!J93+'LCOE analysis'!J94</f>
        <v>6.5874634619426793</v>
      </c>
    </row>
    <row r="77" spans="4:23" ht="22.15" customHeight="1" x14ac:dyDescent="0.3">
      <c r="D77" s="596">
        <f t="shared" ref="D77:D90" ca="1" si="62">D61</f>
        <v>0.5</v>
      </c>
      <c r="E77" s="548"/>
      <c r="F77" s="548"/>
      <c r="G77" s="548"/>
      <c r="H77" s="548"/>
      <c r="I77" s="548"/>
      <c r="J77" s="548"/>
      <c r="K77" s="548"/>
      <c r="L77" s="548"/>
      <c r="M77" s="548"/>
      <c r="N77" s="548"/>
      <c r="O77" s="548"/>
      <c r="P77" s="548"/>
      <c r="Q77" s="548"/>
      <c r="R77" s="548"/>
      <c r="V77" s="534" t="s">
        <v>786</v>
      </c>
      <c r="W77" s="613">
        <f ca="1">W75+W76</f>
        <v>72.462098081369462</v>
      </c>
    </row>
    <row r="78" spans="4:23" ht="22.15" customHeight="1" x14ac:dyDescent="0.3">
      <c r="D78" s="596">
        <f t="shared" ca="1" si="62"/>
        <v>0.6</v>
      </c>
      <c r="E78" s="548"/>
      <c r="F78" s="548">
        <f>F13/E12-1</f>
        <v>-0.38325915322744319</v>
      </c>
      <c r="G78" s="548">
        <f t="shared" ref="G78:R78" si="63">G13/F12-1</f>
        <v>-0.19024258465367938</v>
      </c>
      <c r="H78" s="548">
        <f t="shared" si="63"/>
        <v>-0.17050457774466243</v>
      </c>
      <c r="I78" s="548">
        <f t="shared" si="63"/>
        <v>-0.12203359450142814</v>
      </c>
      <c r="J78" s="548">
        <f t="shared" si="63"/>
        <v>-0.10001939101678958</v>
      </c>
      <c r="K78" s="548">
        <f t="shared" si="63"/>
        <v>-9.1781989040740197E-2</v>
      </c>
      <c r="L78" s="548">
        <f t="shared" si="63"/>
        <v>-8.6263854515632676E-2</v>
      </c>
      <c r="M78" s="548">
        <f t="shared" si="63"/>
        <v>-9.3624870529946946E-2</v>
      </c>
      <c r="N78" s="548">
        <f t="shared" si="63"/>
        <v>-6.7515022748960596E-2</v>
      </c>
      <c r="O78" s="548">
        <f t="shared" si="63"/>
        <v>-3.109776387170049E-2</v>
      </c>
      <c r="P78" s="548">
        <f t="shared" si="63"/>
        <v>-1.8310595577416766E-2</v>
      </c>
      <c r="Q78" s="548">
        <f t="shared" si="63"/>
        <v>-5.0612015308953984E-3</v>
      </c>
      <c r="R78" s="548">
        <f t="shared" si="63"/>
        <v>6.8633115760428076E-3</v>
      </c>
      <c r="V78" s="534" t="s">
        <v>1008</v>
      </c>
      <c r="W78" s="613">
        <f ca="1">'LCOE analysis'!J76</f>
        <v>23.027317325383343</v>
      </c>
    </row>
    <row r="79" spans="4:23" ht="22.15" customHeight="1" x14ac:dyDescent="0.3">
      <c r="D79" s="596">
        <f t="shared" ca="1" si="62"/>
        <v>0.7</v>
      </c>
      <c r="E79" s="548"/>
      <c r="F79" s="548">
        <f t="shared" ref="F79:R79" si="64">F14/E13-1</f>
        <v>-0.36600401673472815</v>
      </c>
      <c r="G79" s="548">
        <f t="shared" si="64"/>
        <v>-0.18057676039238779</v>
      </c>
      <c r="H79" s="548">
        <f t="shared" si="64"/>
        <v>-0.1461309416302643</v>
      </c>
      <c r="I79" s="548">
        <f t="shared" si="64"/>
        <v>-8.3966221206139391E-2</v>
      </c>
      <c r="J79" s="548">
        <f t="shared" si="64"/>
        <v>-7.386500532167195E-2</v>
      </c>
      <c r="K79" s="548">
        <f t="shared" si="64"/>
        <v>-6.6526208829369549E-2</v>
      </c>
      <c r="L79" s="548">
        <f t="shared" si="64"/>
        <v>-6.1665527580591961E-2</v>
      </c>
      <c r="M79" s="548">
        <f t="shared" si="64"/>
        <v>-5.8689682622248274E-2</v>
      </c>
      <c r="N79" s="548">
        <f t="shared" si="64"/>
        <v>-4.087834610762231E-2</v>
      </c>
      <c r="O79" s="548">
        <f t="shared" si="64"/>
        <v>-1.1965216555961833E-2</v>
      </c>
      <c r="P79" s="548">
        <f t="shared" si="64"/>
        <v>1.1312907845488107E-2</v>
      </c>
      <c r="Q79" s="548">
        <f t="shared" si="64"/>
        <v>2.4128650976110499E-2</v>
      </c>
      <c r="R79" s="548">
        <f t="shared" si="64"/>
        <v>3.5670459827828127E-2</v>
      </c>
      <c r="V79" s="534" t="s">
        <v>780</v>
      </c>
      <c r="W79" s="557">
        <f ca="1">W75/W65</f>
        <v>0.67379279687759885</v>
      </c>
    </row>
    <row r="80" spans="4:23" ht="22.15" customHeight="1" x14ac:dyDescent="0.3">
      <c r="D80" s="596">
        <f t="shared" ca="1" si="62"/>
        <v>0.8</v>
      </c>
      <c r="E80" s="548"/>
      <c r="F80" s="548">
        <f t="shared" ref="F80:R80" si="65">F15/E14-1</f>
        <v>-0.3560162351546482</v>
      </c>
      <c r="G80" s="548">
        <f t="shared" si="65"/>
        <v>-0.15056035501031573</v>
      </c>
      <c r="H80" s="548">
        <f t="shared" si="65"/>
        <v>-0.12984093131234176</v>
      </c>
      <c r="I80" s="548">
        <f t="shared" si="65"/>
        <v>-8.2442887058899461E-2</v>
      </c>
      <c r="J80" s="548">
        <f t="shared" si="65"/>
        <v>-6.9532952429352091E-2</v>
      </c>
      <c r="K80" s="548">
        <f t="shared" si="65"/>
        <v>-4.8589621783641235E-2</v>
      </c>
      <c r="L80" s="548">
        <f t="shared" si="65"/>
        <v>-4.2227176837561498E-2</v>
      </c>
      <c r="M80" s="548">
        <f t="shared" si="65"/>
        <v>-5.0813143993877374E-2</v>
      </c>
      <c r="N80" s="548">
        <f t="shared" si="65"/>
        <v>-3.4221916340472225E-2</v>
      </c>
      <c r="O80" s="548">
        <f t="shared" si="65"/>
        <v>5.4957554450214552E-3</v>
      </c>
      <c r="P80" s="548">
        <f t="shared" si="65"/>
        <v>2.9448224397300438E-2</v>
      </c>
      <c r="Q80" s="548">
        <f t="shared" si="65"/>
        <v>3.6659879396725437E-2</v>
      </c>
      <c r="R80" s="548">
        <f t="shared" si="65"/>
        <v>5.540777681809117E-2</v>
      </c>
      <c r="V80" s="534" t="s">
        <v>782</v>
      </c>
      <c r="W80" s="557">
        <f ca="1">W77/W65</f>
        <v>0.74117207656535866</v>
      </c>
    </row>
    <row r="81" spans="4:23" ht="22.15" customHeight="1" x14ac:dyDescent="0.3">
      <c r="D81" s="596">
        <f t="shared" ca="1" si="62"/>
        <v>0.9</v>
      </c>
      <c r="E81" s="548"/>
      <c r="F81" s="548">
        <f t="shared" ref="F81:R81" si="66">F16/E15-1</f>
        <v>-0.33711368814188591</v>
      </c>
      <c r="G81" s="548">
        <f t="shared" si="66"/>
        <v>-0.13748606307717548</v>
      </c>
      <c r="H81" s="548">
        <f t="shared" si="66"/>
        <v>-0.11777879596558682</v>
      </c>
      <c r="I81" s="548">
        <f t="shared" si="66"/>
        <v>-5.3658832005291424E-2</v>
      </c>
      <c r="J81" s="548">
        <f t="shared" si="66"/>
        <v>-4.1308509263228377E-2</v>
      </c>
      <c r="K81" s="548">
        <f t="shared" si="66"/>
        <v>-3.2554427835468358E-2</v>
      </c>
      <c r="L81" s="548">
        <f t="shared" si="66"/>
        <v>-2.6042052058575349E-2</v>
      </c>
      <c r="M81" s="548">
        <f t="shared" si="66"/>
        <v>-4.0203242867332123E-2</v>
      </c>
      <c r="N81" s="548">
        <f t="shared" si="66"/>
        <v>-7.7301879843736376E-3</v>
      </c>
      <c r="O81" s="548">
        <f t="shared" si="66"/>
        <v>1.8466534701783166E-2</v>
      </c>
      <c r="P81" s="548">
        <f t="shared" si="66"/>
        <v>4.2755090673548768E-2</v>
      </c>
      <c r="Q81" s="548">
        <f t="shared" si="66"/>
        <v>5.4409066771215375E-2</v>
      </c>
      <c r="R81" s="548">
        <f t="shared" si="66"/>
        <v>7.2526211792476758E-2</v>
      </c>
      <c r="V81" s="534" t="s">
        <v>866</v>
      </c>
      <c r="W81" s="557">
        <f ca="1">W78/W65</f>
        <v>0.23553285167948979</v>
      </c>
    </row>
    <row r="82" spans="4:23" ht="22.15" customHeight="1" x14ac:dyDescent="0.3">
      <c r="D82" s="596">
        <f t="shared" ca="1" si="62"/>
        <v>1</v>
      </c>
      <c r="E82" s="548"/>
      <c r="F82" s="548">
        <f t="shared" ref="F82:R82" si="67">F17/E16-1</f>
        <v>-0.34749548837267796</v>
      </c>
      <c r="G82" s="548">
        <f t="shared" si="67"/>
        <v>-0.14705866709651705</v>
      </c>
      <c r="H82" s="548">
        <f t="shared" si="67"/>
        <v>-0.11106158055946991</v>
      </c>
      <c r="I82" s="548">
        <f t="shared" si="67"/>
        <v>-4.6614702576270317E-2</v>
      </c>
      <c r="J82" s="548">
        <f t="shared" si="67"/>
        <v>-3.3100331671825911E-2</v>
      </c>
      <c r="K82" s="548">
        <f t="shared" si="67"/>
        <v>-2.261942781370363E-2</v>
      </c>
      <c r="L82" s="548">
        <f t="shared" si="67"/>
        <v>-1.5591312010170388E-2</v>
      </c>
      <c r="M82" s="548">
        <f t="shared" si="67"/>
        <v>-3.5685850273924236E-2</v>
      </c>
      <c r="N82" s="548">
        <f t="shared" si="67"/>
        <v>3.6208884811186337E-3</v>
      </c>
      <c r="O82" s="548">
        <f t="shared" si="67"/>
        <v>2.0158128421985388E-2</v>
      </c>
      <c r="P82" s="548">
        <f t="shared" si="67"/>
        <v>4.8545002876069665E-2</v>
      </c>
      <c r="Q82" s="548">
        <f t="shared" si="67"/>
        <v>6.6830408645597084E-2</v>
      </c>
      <c r="R82" s="548">
        <f t="shared" si="67"/>
        <v>8.7150766056471651E-2</v>
      </c>
      <c r="V82" s="534" t="s">
        <v>783</v>
      </c>
      <c r="W82" s="557">
        <f ca="1">W64/W65</f>
        <v>0.93262072031224019</v>
      </c>
    </row>
    <row r="83" spans="4:23" ht="22.15" customHeight="1" x14ac:dyDescent="0.3">
      <c r="D83" s="596">
        <f t="shared" ca="1" si="62"/>
        <v>1.1000000000000001</v>
      </c>
      <c r="E83" s="548"/>
      <c r="F83" s="548">
        <f t="shared" ref="F83:R83" si="68">F18/E17-1</f>
        <v>-0.33412460030411706</v>
      </c>
      <c r="G83" s="548">
        <f t="shared" si="68"/>
        <v>-0.12414252735980535</v>
      </c>
      <c r="H83" s="548">
        <f t="shared" si="68"/>
        <v>-0.10608648636177465</v>
      </c>
      <c r="I83" s="548">
        <f t="shared" si="68"/>
        <v>-5.1233484735338064E-2</v>
      </c>
      <c r="J83" s="548">
        <f t="shared" si="68"/>
        <v>-3.6091534759767119E-2</v>
      </c>
      <c r="K83" s="548">
        <f t="shared" si="68"/>
        <v>-2.9104383975204429E-2</v>
      </c>
      <c r="L83" s="548">
        <f t="shared" si="68"/>
        <v>-2.4051231648275051E-2</v>
      </c>
      <c r="M83" s="548">
        <f t="shared" si="68"/>
        <v>-3.1283617994001922E-2</v>
      </c>
      <c r="N83" s="548">
        <f t="shared" si="68"/>
        <v>1.5064188114151111E-3</v>
      </c>
      <c r="O83" s="548">
        <f t="shared" si="68"/>
        <v>2.5113940791119171E-2</v>
      </c>
      <c r="P83" s="548">
        <f t="shared" si="68"/>
        <v>5.9768947337391465E-2</v>
      </c>
      <c r="Q83" s="548">
        <f t="shared" si="68"/>
        <v>8.3312730122977685E-2</v>
      </c>
      <c r="R83" s="548">
        <f t="shared" si="68"/>
        <v>9.5994263123379442E-2</v>
      </c>
      <c r="V83" s="534" t="s">
        <v>781</v>
      </c>
      <c r="W83" s="557">
        <f ca="1">W76/W65</f>
        <v>6.7379279687759891E-2</v>
      </c>
    </row>
    <row r="84" spans="4:23" ht="22.15" customHeight="1" x14ac:dyDescent="0.3">
      <c r="D84" s="596">
        <f t="shared" ca="1" si="62"/>
        <v>1.2</v>
      </c>
      <c r="E84" s="548"/>
      <c r="F84" s="548">
        <f t="shared" ref="F84:R84" si="69">F19/E18-1</f>
        <v>-0.33871585440767804</v>
      </c>
      <c r="G84" s="548">
        <f t="shared" si="69"/>
        <v>-0.12178418701545046</v>
      </c>
      <c r="H84" s="548">
        <f t="shared" si="69"/>
        <v>-0.1016046436027831</v>
      </c>
      <c r="I84" s="548">
        <f t="shared" si="69"/>
        <v>-3.168384226405252E-2</v>
      </c>
      <c r="J84" s="548">
        <f t="shared" si="69"/>
        <v>-1.9402122978897429E-2</v>
      </c>
      <c r="K84" s="548">
        <f t="shared" si="69"/>
        <v>-1.0123738434042351E-2</v>
      </c>
      <c r="L84" s="548">
        <f t="shared" si="69"/>
        <v>-1.7740553343766896E-3</v>
      </c>
      <c r="M84" s="548">
        <f t="shared" si="69"/>
        <v>-2.1817837547227659E-2</v>
      </c>
      <c r="N84" s="548">
        <f t="shared" si="69"/>
        <v>5.308063831863663E-3</v>
      </c>
      <c r="O84" s="548">
        <f t="shared" si="69"/>
        <v>4.0231845982447778E-2</v>
      </c>
      <c r="P84" s="548">
        <f t="shared" si="69"/>
        <v>6.8678327716676479E-2</v>
      </c>
      <c r="Q84" s="548">
        <f t="shared" si="69"/>
        <v>9.1449705395465042E-2</v>
      </c>
      <c r="R84" s="548">
        <f t="shared" si="69"/>
        <v>0.10122466304382804</v>
      </c>
      <c r="V84" s="516" t="s">
        <v>879</v>
      </c>
      <c r="W84" s="556">
        <f ca="1">'LCOE analysis'!K77+'LCOE analysis'!K93</f>
        <v>2.5929397189237138</v>
      </c>
    </row>
    <row r="85" spans="4:23" ht="22.15" customHeight="1" x14ac:dyDescent="0.3">
      <c r="D85" s="596">
        <f t="shared" ca="1" si="62"/>
        <v>1.3</v>
      </c>
      <c r="E85" s="548"/>
      <c r="F85" s="548">
        <f t="shared" ref="F85:R85" si="70">F20/E19-1</f>
        <v>-0.33875715049604793</v>
      </c>
      <c r="G85" s="548">
        <f t="shared" si="70"/>
        <v>-0.11897987040258073</v>
      </c>
      <c r="H85" s="548">
        <f t="shared" si="70"/>
        <v>-0.11600093172557235</v>
      </c>
      <c r="I85" s="548">
        <f t="shared" si="70"/>
        <v>-4.2468172744611898E-2</v>
      </c>
      <c r="J85" s="548">
        <f t="shared" si="70"/>
        <v>-2.5477625514272795E-2</v>
      </c>
      <c r="K85" s="548">
        <f t="shared" si="70"/>
        <v>-1.6208558755003821E-2</v>
      </c>
      <c r="L85" s="548">
        <f t="shared" si="70"/>
        <v>-1.0592353673227195E-2</v>
      </c>
      <c r="M85" s="548">
        <f t="shared" si="70"/>
        <v>-2.2808536518488576E-2</v>
      </c>
      <c r="N85" s="548">
        <f t="shared" si="70"/>
        <v>1.8897072888877764E-2</v>
      </c>
      <c r="O85" s="548">
        <f t="shared" si="70"/>
        <v>4.8272149113752105E-2</v>
      </c>
      <c r="P85" s="548">
        <f t="shared" si="70"/>
        <v>7.0636219492119734E-2</v>
      </c>
      <c r="Q85" s="548">
        <f t="shared" si="70"/>
        <v>9.2826498957491843E-2</v>
      </c>
      <c r="R85" s="548">
        <f t="shared" si="70"/>
        <v>0.10789679773643379</v>
      </c>
      <c r="V85" s="516" t="s">
        <v>878</v>
      </c>
      <c r="W85" s="556">
        <f ca="1">'LCOE analysis'!L89+'LCOE analysis'!L94</f>
        <v>5.9043021637353588E-2</v>
      </c>
    </row>
    <row r="86" spans="4:23" ht="22.15" customHeight="1" x14ac:dyDescent="0.3">
      <c r="D86" s="596">
        <f t="shared" ca="1" si="62"/>
        <v>1.4</v>
      </c>
      <c r="E86" s="548"/>
      <c r="F86" s="548">
        <f t="shared" ref="F86:R86" si="71">F21/E20-1</f>
        <v>-0.34481355334408192</v>
      </c>
      <c r="G86" s="548">
        <f t="shared" si="71"/>
        <v>-0.11857481924882807</v>
      </c>
      <c r="H86" s="548">
        <f t="shared" si="71"/>
        <v>-9.8103356829308708E-2</v>
      </c>
      <c r="I86" s="548">
        <f t="shared" si="71"/>
        <v>-2.4395699676003635E-2</v>
      </c>
      <c r="J86" s="548">
        <f t="shared" si="71"/>
        <v>-1.2337982343687437E-2</v>
      </c>
      <c r="K86" s="548">
        <f t="shared" si="71"/>
        <v>-2.0652059066568196E-3</v>
      </c>
      <c r="L86" s="548">
        <f t="shared" si="71"/>
        <v>5.8768237832551584E-3</v>
      </c>
      <c r="M86" s="548">
        <f t="shared" si="71"/>
        <v>-5.0109326378638963E-3</v>
      </c>
      <c r="N86" s="548">
        <f t="shared" si="71"/>
        <v>1.5946878178429991E-2</v>
      </c>
      <c r="O86" s="548">
        <f t="shared" si="71"/>
        <v>4.1977485767043854E-2</v>
      </c>
      <c r="P86" s="548">
        <f t="shared" si="71"/>
        <v>7.1640573010149033E-2</v>
      </c>
      <c r="Q86" s="548">
        <f t="shared" si="71"/>
        <v>0.1038699252929709</v>
      </c>
      <c r="R86" s="548">
        <f t="shared" si="71"/>
        <v>0.11939651176247579</v>
      </c>
      <c r="V86" s="516" t="s">
        <v>980</v>
      </c>
      <c r="W86" s="556">
        <f ca="1">Solver!D19</f>
        <v>202.59619150490249</v>
      </c>
    </row>
    <row r="87" spans="4:23" ht="22.15" customHeight="1" x14ac:dyDescent="0.3">
      <c r="D87" s="596">
        <f t="shared" ca="1" si="62"/>
        <v>1.5</v>
      </c>
      <c r="E87" s="548"/>
      <c r="F87" s="548">
        <f t="shared" ref="F87:R87" si="72">F22/E21-1</f>
        <v>-0.35091564787911911</v>
      </c>
      <c r="G87" s="548">
        <f t="shared" si="72"/>
        <v>-0.11832211018205907</v>
      </c>
      <c r="H87" s="548">
        <f t="shared" si="72"/>
        <v>-0.11324331364220874</v>
      </c>
      <c r="I87" s="548">
        <f t="shared" si="72"/>
        <v>-2.2767342706662586E-2</v>
      </c>
      <c r="J87" s="548">
        <f t="shared" si="72"/>
        <v>-7.7930937010501911E-3</v>
      </c>
      <c r="K87" s="548">
        <f t="shared" si="72"/>
        <v>-6.6599056138844093E-3</v>
      </c>
      <c r="L87" s="548">
        <f t="shared" si="72"/>
        <v>-6.8329053327587097E-4</v>
      </c>
      <c r="M87" s="548">
        <f t="shared" si="72"/>
        <v>-1.588081158643162E-2</v>
      </c>
      <c r="N87" s="548">
        <f t="shared" si="72"/>
        <v>1.5750689004301988E-2</v>
      </c>
      <c r="O87" s="548">
        <f t="shared" si="72"/>
        <v>5.5292843847254636E-2</v>
      </c>
      <c r="P87" s="548">
        <f t="shared" si="72"/>
        <v>8.1107918298666037E-2</v>
      </c>
      <c r="Q87" s="548">
        <f t="shared" si="72"/>
        <v>0.10503770471051221</v>
      </c>
      <c r="R87" s="548">
        <f t="shared" si="72"/>
        <v>0.12304024281080239</v>
      </c>
      <c r="V87" s="516" t="s">
        <v>1666</v>
      </c>
      <c r="W87" s="556">
        <f ca="1">Performance!$C$8</f>
        <v>15.539326163190678</v>
      </c>
    </row>
    <row r="88" spans="4:23" ht="22.15" customHeight="1" x14ac:dyDescent="0.3">
      <c r="D88" s="596">
        <f t="shared" ca="1" si="62"/>
        <v>1.6</v>
      </c>
      <c r="E88" s="548"/>
      <c r="F88" s="548">
        <f t="shared" ref="F88:R88" si="73">F23/E22-1</f>
        <v>-0.35266470811549933</v>
      </c>
      <c r="G88" s="548">
        <f t="shared" si="73"/>
        <v>-0.10590790772105541</v>
      </c>
      <c r="H88" s="548">
        <f t="shared" si="73"/>
        <v>-9.8250724429493896E-2</v>
      </c>
      <c r="I88" s="548">
        <f t="shared" si="73"/>
        <v>-2.02244331081608E-2</v>
      </c>
      <c r="J88" s="548">
        <f t="shared" si="73"/>
        <v>-2.1290734255433486E-2</v>
      </c>
      <c r="K88" s="548">
        <f t="shared" si="73"/>
        <v>-8.5720604146232171E-3</v>
      </c>
      <c r="L88" s="548">
        <f t="shared" si="73"/>
        <v>1.0658896375113303E-2</v>
      </c>
      <c r="M88" s="548">
        <f t="shared" si="73"/>
        <v>-2.8404062943411246E-3</v>
      </c>
      <c r="N88" s="548">
        <f t="shared" si="73"/>
        <v>2.2491755824596726E-2</v>
      </c>
      <c r="O88" s="548">
        <f t="shared" si="73"/>
        <v>4.9475327756500098E-2</v>
      </c>
      <c r="P88" s="548">
        <f t="shared" si="73"/>
        <v>8.1285818200928839E-2</v>
      </c>
      <c r="Q88" s="548">
        <f t="shared" si="73"/>
        <v>0.11289758103483427</v>
      </c>
      <c r="R88" s="548">
        <f t="shared" si="73"/>
        <v>0.13144417498871586</v>
      </c>
      <c r="V88" s="534" t="s">
        <v>1667</v>
      </c>
      <c r="W88" s="556">
        <f ca="1">Scenarios!$D$81</f>
        <v>306.95403032190711</v>
      </c>
    </row>
    <row r="89" spans="4:23" ht="22.15" customHeight="1" x14ac:dyDescent="0.3">
      <c r="D89" s="596">
        <f t="shared" ca="1" si="62"/>
        <v>1.8</v>
      </c>
      <c r="E89" s="548"/>
      <c r="F89" s="548">
        <f t="shared" ref="F89:R89" si="74">F24/E23-1</f>
        <v>-0.33174931977290023</v>
      </c>
      <c r="G89" s="548">
        <f t="shared" si="74"/>
        <v>-8.8695967161140699E-2</v>
      </c>
      <c r="H89" s="548">
        <f t="shared" si="74"/>
        <v>-7.0248589406103124E-2</v>
      </c>
      <c r="I89" s="548">
        <f t="shared" si="74"/>
        <v>9.7996987779280786E-3</v>
      </c>
      <c r="J89" s="548">
        <f t="shared" si="74"/>
        <v>2.441879713243944E-2</v>
      </c>
      <c r="K89" s="548">
        <f t="shared" si="74"/>
        <v>3.5662799321058758E-2</v>
      </c>
      <c r="L89" s="548">
        <f t="shared" si="74"/>
        <v>4.3420299182782784E-2</v>
      </c>
      <c r="M89" s="548">
        <f t="shared" si="74"/>
        <v>2.5455962963933709E-2</v>
      </c>
      <c r="N89" s="548">
        <f t="shared" si="74"/>
        <v>5.1249940385113879E-2</v>
      </c>
      <c r="O89" s="548">
        <f t="shared" si="74"/>
        <v>8.944604425947511E-2</v>
      </c>
      <c r="P89" s="548">
        <f t="shared" si="74"/>
        <v>0.12427016450654693</v>
      </c>
      <c r="Q89" s="548">
        <f t="shared" si="74"/>
        <v>0.15058973776722384</v>
      </c>
      <c r="R89" s="548">
        <f t="shared" si="74"/>
        <v>0.17223806716569201</v>
      </c>
      <c r="V89" s="516" t="s">
        <v>1668</v>
      </c>
      <c r="W89" s="556">
        <f ca="1">Scenarios!$D$76</f>
        <v>833.48857504911859</v>
      </c>
    </row>
    <row r="90" spans="4:23" ht="22.15" customHeight="1" x14ac:dyDescent="0.3">
      <c r="D90" s="596">
        <f t="shared" ca="1" si="62"/>
        <v>2</v>
      </c>
      <c r="E90" s="548"/>
      <c r="F90" s="548">
        <f t="shared" ref="F90:R90" si="75">F25/E24-1</f>
        <v>-0.33685115144248501</v>
      </c>
      <c r="G90" s="548">
        <f t="shared" si="75"/>
        <v>-7.727309833338325E-2</v>
      </c>
      <c r="H90" s="548">
        <f t="shared" si="75"/>
        <v>-5.6589374312595808E-2</v>
      </c>
      <c r="I90" s="548">
        <f t="shared" si="75"/>
        <v>1.58806487450871E-2</v>
      </c>
      <c r="J90" s="548">
        <f t="shared" si="75"/>
        <v>3.2067568007313696E-2</v>
      </c>
      <c r="K90" s="548">
        <f t="shared" si="75"/>
        <v>4.3223721591472142E-2</v>
      </c>
      <c r="L90" s="548">
        <f t="shared" si="75"/>
        <v>5.3083201865503193E-2</v>
      </c>
      <c r="M90" s="548">
        <f t="shared" si="75"/>
        <v>3.2189298710036063E-2</v>
      </c>
      <c r="N90" s="548">
        <f t="shared" si="75"/>
        <v>6.1451406276804121E-2</v>
      </c>
      <c r="O90" s="548">
        <f t="shared" si="75"/>
        <v>9.895065264727454E-2</v>
      </c>
      <c r="P90" s="548">
        <f t="shared" si="75"/>
        <v>0.13612543466090266</v>
      </c>
      <c r="Q90" s="548">
        <f t="shared" si="75"/>
        <v>0.16267984651964884</v>
      </c>
      <c r="R90" s="548">
        <f t="shared" si="75"/>
        <v>0.18854221399082038</v>
      </c>
      <c r="V90" s="516" t="s">
        <v>1682</v>
      </c>
      <c r="W90" s="1128">
        <f ca="1">Scenarios!$D$15</f>
        <v>10.563903252812876</v>
      </c>
    </row>
    <row r="91" spans="4:23" ht="22.15" customHeight="1" x14ac:dyDescent="0.3">
      <c r="V91" s="516"/>
      <c r="W91" s="556"/>
    </row>
    <row r="92" spans="4:23" ht="22.15" customHeight="1" x14ac:dyDescent="0.3">
      <c r="V92" s="516"/>
      <c r="W92" s="556"/>
    </row>
  </sheetData>
  <scenarios current="0">
    <scenario name="temp" count="2" user="Fabrizio Nastri" comment="Created by Fabrizio Nastri on 6/22/2020">
      <inputCells r="AE8" val="0.257387906155614" numFmtId="2"/>
      <inputCells r="AE9" val="0.3" numFmtId="2"/>
    </scenario>
  </scenarios>
  <sortState xmlns:xlrd2="http://schemas.microsoft.com/office/spreadsheetml/2017/richdata2" ref="AC16:AC37">
    <sortCondition ref="AC16:AC37"/>
  </sortState>
  <mergeCells count="5">
    <mergeCell ref="AM16:AM30"/>
    <mergeCell ref="W13:W14"/>
    <mergeCell ref="X13:X14"/>
    <mergeCell ref="B12:B25"/>
    <mergeCell ref="B29:B42"/>
  </mergeCells>
  <conditionalFormatting sqref="E12:R25">
    <cfRule type="colorScale" priority="9">
      <colorScale>
        <cfvo type="min"/>
        <cfvo type="percentile" val="50"/>
        <cfvo type="max"/>
        <color rgb="FF63BE7B"/>
        <color rgb="FFFFEB84"/>
        <color rgb="FFF8696B"/>
      </colorScale>
    </cfRule>
  </conditionalFormatting>
  <conditionalFormatting sqref="E45:R58">
    <cfRule type="colorScale" priority="8">
      <colorScale>
        <cfvo type="min"/>
        <cfvo type="percentile" val="50"/>
        <cfvo type="max"/>
        <color rgb="FF63BE7B"/>
        <color rgb="FFFFEB84"/>
        <color rgb="FFF8696B"/>
      </colorScale>
    </cfRule>
  </conditionalFormatting>
  <conditionalFormatting sqref="E61:R74">
    <cfRule type="colorScale" priority="7">
      <colorScale>
        <cfvo type="min"/>
        <cfvo type="percentile" val="50"/>
        <cfvo type="max"/>
        <color rgb="FF63BE7B"/>
        <color rgb="FFFFEB84"/>
        <color rgb="FFF8696B"/>
      </colorScale>
    </cfRule>
  </conditionalFormatting>
  <conditionalFormatting sqref="S72:S73 E77:R90">
    <cfRule type="colorScale" priority="6">
      <colorScale>
        <cfvo type="min"/>
        <cfvo type="percentile" val="50"/>
        <cfvo type="max"/>
        <color rgb="FF63BE7B"/>
        <color rgb="FFFFEB84"/>
        <color rgb="FFF8696B"/>
      </colorScale>
    </cfRule>
  </conditionalFormatting>
  <conditionalFormatting sqref="AO17:BB30">
    <cfRule type="colorScale" priority="5">
      <colorScale>
        <cfvo type="min"/>
        <cfvo type="percentile" val="50"/>
        <cfvo type="max"/>
        <color rgb="FF63BE7B"/>
        <color rgb="FFFFEB84"/>
        <color rgb="FFF8696B"/>
      </colorScale>
    </cfRule>
  </conditionalFormatting>
  <conditionalFormatting sqref="E29:R4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6324" r:id="rId4" name="Drop Down 4">
              <controlPr defaultSize="0" autoLine="0" autoPict="0">
                <anchor moveWithCells="1">
                  <from>
                    <xdr:col>19</xdr:col>
                    <xdr:colOff>133350</xdr:colOff>
                    <xdr:row>14</xdr:row>
                    <xdr:rowOff>104775</xdr:rowOff>
                  </from>
                  <to>
                    <xdr:col>20</xdr:col>
                    <xdr:colOff>523875</xdr:colOff>
                    <xdr:row>14</xdr:row>
                    <xdr:rowOff>276225</xdr:rowOff>
                  </to>
                </anchor>
              </controlPr>
            </control>
          </mc:Choice>
        </mc:AlternateContent>
        <mc:AlternateContent xmlns:mc="http://schemas.openxmlformats.org/markup-compatibility/2006">
          <mc:Choice Requires="x14">
            <control shapeId="56325" r:id="rId5" name="Drop Down 5">
              <controlPr defaultSize="0" autoLine="0" autoPict="0">
                <anchor moveWithCells="1">
                  <from>
                    <xdr:col>19</xdr:col>
                    <xdr:colOff>133350</xdr:colOff>
                    <xdr:row>15</xdr:row>
                    <xdr:rowOff>104775</xdr:rowOff>
                  </from>
                  <to>
                    <xdr:col>20</xdr:col>
                    <xdr:colOff>523875</xdr:colOff>
                    <xdr:row>15</xdr:row>
                    <xdr:rowOff>276225</xdr:rowOff>
                  </to>
                </anchor>
              </controlPr>
            </control>
          </mc:Choice>
        </mc:AlternateContent>
        <mc:AlternateContent xmlns:mc="http://schemas.openxmlformats.org/markup-compatibility/2006">
          <mc:Choice Requires="x14">
            <control shapeId="56326" r:id="rId6" name="Drop Down 6">
              <controlPr defaultSize="0" autoLine="0" autoPict="0">
                <anchor moveWithCells="1">
                  <from>
                    <xdr:col>19</xdr:col>
                    <xdr:colOff>133350</xdr:colOff>
                    <xdr:row>17</xdr:row>
                    <xdr:rowOff>104775</xdr:rowOff>
                  </from>
                  <to>
                    <xdr:col>20</xdr:col>
                    <xdr:colOff>533400</xdr:colOff>
                    <xdr:row>18</xdr:row>
                    <xdr:rowOff>0</xdr:rowOff>
                  </to>
                </anchor>
              </controlPr>
            </control>
          </mc:Choice>
        </mc:AlternateContent>
        <mc:AlternateContent xmlns:mc="http://schemas.openxmlformats.org/markup-compatibility/2006">
          <mc:Choice Requires="x14">
            <control shapeId="56327" r:id="rId7" name="Drop Down 7">
              <controlPr defaultSize="0" autoLine="0" autoPict="0">
                <anchor moveWithCells="1">
                  <from>
                    <xdr:col>19</xdr:col>
                    <xdr:colOff>133350</xdr:colOff>
                    <xdr:row>18</xdr:row>
                    <xdr:rowOff>104775</xdr:rowOff>
                  </from>
                  <to>
                    <xdr:col>20</xdr:col>
                    <xdr:colOff>523875</xdr:colOff>
                    <xdr:row>18</xdr:row>
                    <xdr:rowOff>276225</xdr:rowOff>
                  </to>
                </anchor>
              </controlPr>
            </control>
          </mc:Choice>
        </mc:AlternateContent>
        <mc:AlternateContent xmlns:mc="http://schemas.openxmlformats.org/markup-compatibility/2006">
          <mc:Choice Requires="x14">
            <control shapeId="56328" r:id="rId8" name="Drop Down 8">
              <controlPr defaultSize="0" autoLine="0" autoPict="0">
                <anchor moveWithCells="1">
                  <from>
                    <xdr:col>19</xdr:col>
                    <xdr:colOff>133350</xdr:colOff>
                    <xdr:row>19</xdr:row>
                    <xdr:rowOff>104775</xdr:rowOff>
                  </from>
                  <to>
                    <xdr:col>20</xdr:col>
                    <xdr:colOff>523875</xdr:colOff>
                    <xdr:row>19</xdr:row>
                    <xdr:rowOff>276225</xdr:rowOff>
                  </to>
                </anchor>
              </controlPr>
            </control>
          </mc:Choice>
        </mc:AlternateContent>
        <mc:AlternateContent xmlns:mc="http://schemas.openxmlformats.org/markup-compatibility/2006">
          <mc:Choice Requires="x14">
            <control shapeId="56329" r:id="rId9" name="Drop Down 9">
              <controlPr defaultSize="0" autoLine="0" autoPict="0">
                <anchor moveWithCells="1">
                  <from>
                    <xdr:col>8</xdr:col>
                    <xdr:colOff>209550</xdr:colOff>
                    <xdr:row>8</xdr:row>
                    <xdr:rowOff>28575</xdr:rowOff>
                  </from>
                  <to>
                    <xdr:col>11</xdr:col>
                    <xdr:colOff>209550</xdr:colOff>
                    <xdr:row>8</xdr:row>
                    <xdr:rowOff>247650</xdr:rowOff>
                  </to>
                </anchor>
              </controlPr>
            </control>
          </mc:Choice>
        </mc:AlternateContent>
        <mc:AlternateContent xmlns:mc="http://schemas.openxmlformats.org/markup-compatibility/2006">
          <mc:Choice Requires="x14">
            <control shapeId="56331" r:id="rId10" name="Drop Down 11">
              <controlPr defaultSize="0" autoLine="0" autoPict="0">
                <anchor moveWithCells="1">
                  <from>
                    <xdr:col>15</xdr:col>
                    <xdr:colOff>114300</xdr:colOff>
                    <xdr:row>8</xdr:row>
                    <xdr:rowOff>28575</xdr:rowOff>
                  </from>
                  <to>
                    <xdr:col>16</xdr:col>
                    <xdr:colOff>581025</xdr:colOff>
                    <xdr:row>8</xdr:row>
                    <xdr:rowOff>247650</xdr:rowOff>
                  </to>
                </anchor>
              </controlPr>
            </control>
          </mc:Choice>
        </mc:AlternateContent>
        <mc:AlternateContent xmlns:mc="http://schemas.openxmlformats.org/markup-compatibility/2006">
          <mc:Choice Requires="x14">
            <control shapeId="56332" r:id="rId11" name="Drop Down 12">
              <controlPr defaultSize="0" autoLine="0" autoPict="0">
                <anchor moveWithCells="1">
                  <from>
                    <xdr:col>3</xdr:col>
                    <xdr:colOff>314325</xdr:colOff>
                    <xdr:row>8</xdr:row>
                    <xdr:rowOff>38100</xdr:rowOff>
                  </from>
                  <to>
                    <xdr:col>4</xdr:col>
                    <xdr:colOff>609600</xdr:colOff>
                    <xdr:row>8</xdr:row>
                    <xdr:rowOff>257175</xdr:rowOff>
                  </to>
                </anchor>
              </controlPr>
            </control>
          </mc:Choice>
        </mc:AlternateContent>
        <mc:AlternateContent xmlns:mc="http://schemas.openxmlformats.org/markup-compatibility/2006">
          <mc:Choice Requires="x14">
            <control shapeId="56333" r:id="rId12" name="Drop Down 13">
              <controlPr defaultSize="0" autoLine="0" autoPict="0">
                <anchor moveWithCells="1">
                  <from>
                    <xdr:col>19</xdr:col>
                    <xdr:colOff>133350</xdr:colOff>
                    <xdr:row>16</xdr:row>
                    <xdr:rowOff>104775</xdr:rowOff>
                  </from>
                  <to>
                    <xdr:col>20</xdr:col>
                    <xdr:colOff>523875</xdr:colOff>
                    <xdr:row>16</xdr:row>
                    <xdr:rowOff>276225</xdr:rowOff>
                  </to>
                </anchor>
              </controlPr>
            </control>
          </mc:Choice>
        </mc:AlternateContent>
        <mc:AlternateContent xmlns:mc="http://schemas.openxmlformats.org/markup-compatibility/2006">
          <mc:Choice Requires="x14">
            <control shapeId="56334" r:id="rId13" name="Drop Down 14">
              <controlPr defaultSize="0" autoLine="0" autoPict="0">
                <anchor moveWithCells="1">
                  <from>
                    <xdr:col>19</xdr:col>
                    <xdr:colOff>133350</xdr:colOff>
                    <xdr:row>21</xdr:row>
                    <xdr:rowOff>85725</xdr:rowOff>
                  </from>
                  <to>
                    <xdr:col>20</xdr:col>
                    <xdr:colOff>523875</xdr:colOff>
                    <xdr:row>21</xdr:row>
                    <xdr:rowOff>276225</xdr:rowOff>
                  </to>
                </anchor>
              </controlPr>
            </control>
          </mc:Choice>
        </mc:AlternateContent>
        <mc:AlternateContent xmlns:mc="http://schemas.openxmlformats.org/markup-compatibility/2006">
          <mc:Choice Requires="x14">
            <control shapeId="56337" r:id="rId14" name="Drop Down 17">
              <controlPr defaultSize="0" autoLine="0" autoPict="0">
                <anchor moveWithCells="1">
                  <from>
                    <xdr:col>19</xdr:col>
                    <xdr:colOff>133350</xdr:colOff>
                    <xdr:row>23</xdr:row>
                    <xdr:rowOff>133350</xdr:rowOff>
                  </from>
                  <to>
                    <xdr:col>20</xdr:col>
                    <xdr:colOff>523875</xdr:colOff>
                    <xdr:row>24</xdr:row>
                    <xdr:rowOff>19050</xdr:rowOff>
                  </to>
                </anchor>
              </controlPr>
            </control>
          </mc:Choice>
        </mc:AlternateContent>
        <mc:AlternateContent xmlns:mc="http://schemas.openxmlformats.org/markup-compatibility/2006">
          <mc:Choice Requires="x14">
            <control shapeId="56338" r:id="rId15" name="Drop Down 18">
              <controlPr defaultSize="0" autoLine="0" autoPict="0">
                <anchor moveWithCells="1">
                  <from>
                    <xdr:col>19</xdr:col>
                    <xdr:colOff>133350</xdr:colOff>
                    <xdr:row>24</xdr:row>
                    <xdr:rowOff>123825</xdr:rowOff>
                  </from>
                  <to>
                    <xdr:col>20</xdr:col>
                    <xdr:colOff>523875</xdr:colOff>
                    <xdr:row>25</xdr:row>
                    <xdr:rowOff>19050</xdr:rowOff>
                  </to>
                </anchor>
              </controlPr>
            </control>
          </mc:Choice>
        </mc:AlternateContent>
        <mc:AlternateContent xmlns:mc="http://schemas.openxmlformats.org/markup-compatibility/2006">
          <mc:Choice Requires="x14">
            <control shapeId="56342" r:id="rId16" name="Drop Down 22">
              <controlPr defaultSize="0" autoLine="0" autoPict="0">
                <anchor moveWithCells="1">
                  <from>
                    <xdr:col>19</xdr:col>
                    <xdr:colOff>133350</xdr:colOff>
                    <xdr:row>25</xdr:row>
                    <xdr:rowOff>114300</xdr:rowOff>
                  </from>
                  <to>
                    <xdr:col>20</xdr:col>
                    <xdr:colOff>523875</xdr:colOff>
                    <xdr:row>25</xdr:row>
                    <xdr:rowOff>276225</xdr:rowOff>
                  </to>
                </anchor>
              </controlPr>
            </control>
          </mc:Choice>
        </mc:AlternateContent>
        <mc:AlternateContent xmlns:mc="http://schemas.openxmlformats.org/markup-compatibility/2006">
          <mc:Choice Requires="x14">
            <control shapeId="56343" r:id="rId17" name="Drop Down 23">
              <controlPr defaultSize="0" autoLine="0" autoPict="0">
                <anchor moveWithCells="1">
                  <from>
                    <xdr:col>19</xdr:col>
                    <xdr:colOff>133350</xdr:colOff>
                    <xdr:row>26</xdr:row>
                    <xdr:rowOff>95250</xdr:rowOff>
                  </from>
                  <to>
                    <xdr:col>20</xdr:col>
                    <xdr:colOff>523875</xdr:colOff>
                    <xdr:row>26</xdr:row>
                    <xdr:rowOff>276225</xdr:rowOff>
                  </to>
                </anchor>
              </controlPr>
            </control>
          </mc:Choice>
        </mc:AlternateContent>
        <mc:AlternateContent xmlns:mc="http://schemas.openxmlformats.org/markup-compatibility/2006">
          <mc:Choice Requires="x14">
            <control shapeId="56348" r:id="rId18" name="Drop Down 28">
              <controlPr defaultSize="0" autoLine="0" autoPict="0">
                <anchor moveWithCells="1">
                  <from>
                    <xdr:col>19</xdr:col>
                    <xdr:colOff>133350</xdr:colOff>
                    <xdr:row>22</xdr:row>
                    <xdr:rowOff>85725</xdr:rowOff>
                  </from>
                  <to>
                    <xdr:col>20</xdr:col>
                    <xdr:colOff>523875</xdr:colOff>
                    <xdr:row>22</xdr:row>
                    <xdr:rowOff>276225</xdr:rowOff>
                  </to>
                </anchor>
              </controlPr>
            </control>
          </mc:Choice>
        </mc:AlternateContent>
        <mc:AlternateContent xmlns:mc="http://schemas.openxmlformats.org/markup-compatibility/2006">
          <mc:Choice Requires="x14">
            <control shapeId="56357" r:id="rId19" name="Drop Down 37">
              <controlPr defaultSize="0" autoLine="0" autoPict="0">
                <anchor>
                  <from>
                    <xdr:col>3</xdr:col>
                    <xdr:colOff>619125</xdr:colOff>
                    <xdr:row>1</xdr:row>
                    <xdr:rowOff>0</xdr:rowOff>
                  </from>
                  <to>
                    <xdr:col>6</xdr:col>
                    <xdr:colOff>276225</xdr:colOff>
                    <xdr:row>1</xdr:row>
                    <xdr:rowOff>238125</xdr:rowOff>
                  </to>
                </anchor>
              </controlPr>
            </control>
          </mc:Choice>
        </mc:AlternateContent>
        <mc:AlternateContent xmlns:mc="http://schemas.openxmlformats.org/markup-compatibility/2006">
          <mc:Choice Requires="x14">
            <control shapeId="56358" r:id="rId20" name="Check Box 38">
              <controlPr defaultSize="0" autoFill="0" autoLine="0" autoPict="0">
                <anchor moveWithCells="1">
                  <from>
                    <xdr:col>12</xdr:col>
                    <xdr:colOff>638175</xdr:colOff>
                    <xdr:row>0</xdr:row>
                    <xdr:rowOff>0</xdr:rowOff>
                  </from>
                  <to>
                    <xdr:col>14</xdr:col>
                    <xdr:colOff>352425</xdr:colOff>
                    <xdr:row>1</xdr:row>
                    <xdr:rowOff>228600</xdr:rowOff>
                  </to>
                </anchor>
              </controlPr>
            </control>
          </mc:Choice>
        </mc:AlternateContent>
        <mc:AlternateContent xmlns:mc="http://schemas.openxmlformats.org/markup-compatibility/2006">
          <mc:Choice Requires="x14">
            <control shapeId="56359" r:id="rId21" name="Check Box 39">
              <controlPr defaultSize="0" autoFill="0" autoLine="0" autoPict="0">
                <anchor moveWithCells="1">
                  <from>
                    <xdr:col>11</xdr:col>
                    <xdr:colOff>361950</xdr:colOff>
                    <xdr:row>0</xdr:row>
                    <xdr:rowOff>0</xdr:rowOff>
                  </from>
                  <to>
                    <xdr:col>12</xdr:col>
                    <xdr:colOff>400050</xdr:colOff>
                    <xdr:row>1</xdr:row>
                    <xdr:rowOff>219075</xdr:rowOff>
                  </to>
                </anchor>
              </controlPr>
            </control>
          </mc:Choice>
        </mc:AlternateContent>
        <mc:AlternateContent xmlns:mc="http://schemas.openxmlformats.org/markup-compatibility/2006">
          <mc:Choice Requires="x14">
            <control shapeId="56360" r:id="rId22" name="Check Box 40">
              <controlPr defaultSize="0" autoFill="0" autoLine="0" autoPict="0">
                <anchor moveWithCells="1">
                  <from>
                    <xdr:col>10</xdr:col>
                    <xdr:colOff>247650</xdr:colOff>
                    <xdr:row>0</xdr:row>
                    <xdr:rowOff>0</xdr:rowOff>
                  </from>
                  <to>
                    <xdr:col>11</xdr:col>
                    <xdr:colOff>314325</xdr:colOff>
                    <xdr:row>1</xdr:row>
                    <xdr:rowOff>200025</xdr:rowOff>
                  </to>
                </anchor>
              </controlPr>
            </control>
          </mc:Choice>
        </mc:AlternateContent>
        <mc:AlternateContent xmlns:mc="http://schemas.openxmlformats.org/markup-compatibility/2006">
          <mc:Choice Requires="x14">
            <control shapeId="56361" r:id="rId23" name="Drop Down 41">
              <controlPr defaultSize="0" autoLine="0" autoPict="0">
                <anchor moveWithCells="1">
                  <from>
                    <xdr:col>19</xdr:col>
                    <xdr:colOff>133350</xdr:colOff>
                    <xdr:row>27</xdr:row>
                    <xdr:rowOff>66675</xdr:rowOff>
                  </from>
                  <to>
                    <xdr:col>20</xdr:col>
                    <xdr:colOff>514350</xdr:colOff>
                    <xdr:row>27</xdr:row>
                    <xdr:rowOff>238125</xdr:rowOff>
                  </to>
                </anchor>
              </controlPr>
            </control>
          </mc:Choice>
        </mc:AlternateContent>
        <mc:AlternateContent xmlns:mc="http://schemas.openxmlformats.org/markup-compatibility/2006">
          <mc:Choice Requires="x14">
            <control shapeId="56362" r:id="rId24" name="Drop Down 42">
              <controlPr defaultSize="0" autoLine="0" autoPict="0">
                <anchor moveWithCells="1">
                  <from>
                    <xdr:col>6</xdr:col>
                    <xdr:colOff>666750</xdr:colOff>
                    <xdr:row>0</xdr:row>
                    <xdr:rowOff>0</xdr:rowOff>
                  </from>
                  <to>
                    <xdr:col>9</xdr:col>
                    <xdr:colOff>666750</xdr:colOff>
                    <xdr:row>1</xdr:row>
                    <xdr:rowOff>219075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iconSet" priority="2" id="{01F6F8D1-2B8E-4B8A-A6CE-C9B38D881BC8}">
            <x14:iconSet iconSet="3Symbols" custom="1">
              <x14:cfvo type="percent">
                <xm:f>0</xm:f>
              </x14:cfvo>
              <x14:cfvo type="num">
                <xm:f>0</xm:f>
              </x14:cfvo>
              <x14:cfvo type="num">
                <xm:f>1</xm:f>
              </x14:cfvo>
              <x14:cfIcon iconSet="NoIcons" iconId="0"/>
              <x14:cfIcon iconSet="NoIcons" iconId="0"/>
              <x14:cfIcon iconSet="3Symbols" iconId="2"/>
            </x14:iconSet>
          </x14:cfRule>
          <xm:sqref>K5:K7</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95"/>
  <sheetViews>
    <sheetView showGridLines="0" zoomScale="80" zoomScaleNormal="80" workbookViewId="0">
      <pane ySplit="6" topLeftCell="A45" activePane="bottomLeft" state="frozen"/>
      <selection activeCell="L105" sqref="L105"/>
      <selection pane="bottomLeft" activeCell="D44" sqref="D44"/>
    </sheetView>
  </sheetViews>
  <sheetFormatPr defaultColWidth="9" defaultRowHeight="15" customHeight="1" outlineLevelRow="1" x14ac:dyDescent="0.3"/>
  <cols>
    <col min="1" max="1" width="9" style="511"/>
    <col min="2" max="2" width="12.375" style="511" customWidth="1"/>
    <col min="3" max="3" width="7.875" style="511" customWidth="1"/>
    <col min="4" max="4" width="9" style="511"/>
    <col min="5" max="5" width="4.375" style="511" customWidth="1"/>
    <col min="6" max="6" width="8.375" style="511" customWidth="1"/>
    <col min="7" max="7" width="11.625" style="511" customWidth="1"/>
    <col min="8" max="8" width="10" style="511" customWidth="1"/>
    <col min="9" max="9" width="8" style="511" customWidth="1"/>
    <col min="10" max="10" width="13.375" style="511" customWidth="1"/>
    <col min="11" max="11" width="10.875" style="511" customWidth="1"/>
    <col min="12" max="12" width="9.375" style="511" customWidth="1"/>
    <col min="13" max="13" width="10.875" style="511" customWidth="1"/>
    <col min="14" max="15" width="8.375" style="511" customWidth="1"/>
    <col min="16" max="16" width="7.875" style="511" bestFit="1" customWidth="1"/>
    <col min="17" max="19" width="8.375" style="511" customWidth="1"/>
    <col min="20" max="20" width="11.375" style="511" customWidth="1"/>
    <col min="21" max="39" width="8.375" style="511" customWidth="1"/>
    <col min="40" max="16384" width="9" style="511"/>
  </cols>
  <sheetData>
    <row r="1" spans="1:34" ht="15" customHeight="1" x14ac:dyDescent="0.3">
      <c r="A1" s="510" t="s">
        <v>854</v>
      </c>
    </row>
    <row r="2" spans="1:34" ht="15" customHeight="1" thickBot="1" x14ac:dyDescent="0.35">
      <c r="A2" s="544" t="s">
        <v>1054</v>
      </c>
      <c r="K2" s="1384" t="s">
        <v>988</v>
      </c>
      <c r="L2" s="639"/>
      <c r="M2" s="639"/>
      <c r="N2" s="639"/>
      <c r="O2" s="639"/>
      <c r="P2" s="512"/>
      <c r="Q2" s="1391" t="s">
        <v>1026</v>
      </c>
    </row>
    <row r="3" spans="1:34" s="583" customFormat="1" x14ac:dyDescent="0.3">
      <c r="A3" s="1385"/>
      <c r="B3" s="1351"/>
      <c r="C3" s="1351"/>
      <c r="D3" s="1351"/>
      <c r="E3" s="1351"/>
      <c r="F3" s="1351"/>
      <c r="G3" s="1351"/>
      <c r="H3" s="1351"/>
      <c r="I3" s="1351"/>
      <c r="J3" s="1386"/>
      <c r="K3" s="1370" t="s">
        <v>75</v>
      </c>
      <c r="L3" s="1373" t="str">
        <f>Performance!A3</f>
        <v>Wing area</v>
      </c>
      <c r="M3" s="1369" t="s">
        <v>501</v>
      </c>
      <c r="N3" s="1375">
        <f ca="1">N</f>
        <v>30</v>
      </c>
      <c r="O3" s="1365" t="s">
        <v>292</v>
      </c>
      <c r="P3" s="1352">
        <f ca="1">horizon</f>
        <v>25</v>
      </c>
      <c r="Q3" s="1385" t="s">
        <v>1027</v>
      </c>
      <c r="R3" s="1351"/>
      <c r="S3" s="1351"/>
      <c r="T3" s="1351"/>
      <c r="U3" s="1351"/>
      <c r="V3" s="1351"/>
      <c r="W3" s="1351"/>
      <c r="X3" s="1351"/>
      <c r="Y3" s="1351"/>
      <c r="Z3" s="1351"/>
      <c r="AA3" s="1351"/>
      <c r="AB3" s="1351"/>
      <c r="AC3" s="1351"/>
      <c r="AD3" s="1351"/>
      <c r="AE3" s="1351"/>
      <c r="AF3" s="1351"/>
      <c r="AG3" s="1351"/>
      <c r="AH3" s="1386"/>
    </row>
    <row r="4" spans="1:34" s="583" customFormat="1" x14ac:dyDescent="0.3">
      <c r="A4" s="1387"/>
      <c r="J4" s="1388"/>
      <c r="K4" s="1367" t="s">
        <v>904</v>
      </c>
      <c r="L4" s="1149" t="str">
        <f>Performance!A2</f>
        <v>Outputs</v>
      </c>
      <c r="M4" s="1347" t="s">
        <v>905</v>
      </c>
      <c r="N4" s="1376">
        <f ca="1">Performance!$C$8</f>
        <v>15.539326163190678</v>
      </c>
      <c r="O4" s="1362" t="s">
        <v>1051</v>
      </c>
      <c r="P4" s="1379">
        <f ca="1">LCOE</f>
        <v>97.766902413760249</v>
      </c>
      <c r="Q4" s="1387"/>
      <c r="AH4" s="1388"/>
    </row>
    <row r="5" spans="1:34" s="583" customFormat="1" x14ac:dyDescent="0.3">
      <c r="A5" s="1387"/>
      <c r="J5" s="1388"/>
      <c r="K5" s="1366" t="s">
        <v>65</v>
      </c>
      <c r="L5" s="1374">
        <f ca="1">Tmax_p</f>
        <v>42.000000000000007</v>
      </c>
      <c r="M5" s="1361" t="s">
        <v>910</v>
      </c>
      <c r="N5" s="1377">
        <f ca="1">Scenarios!D22</f>
        <v>12.5</v>
      </c>
      <c r="O5" s="1362" t="s">
        <v>1052</v>
      </c>
      <c r="P5" s="1363">
        <f ca="1">'LCOE analysis'!D19</f>
        <v>0.40220801713922949</v>
      </c>
      <c r="Q5" s="1387"/>
      <c r="AH5" s="1388"/>
    </row>
    <row r="6" spans="1:34" s="583" customFormat="1" ht="15.75" thickBot="1" x14ac:dyDescent="0.35">
      <c r="A6" s="1389"/>
      <c r="B6" s="1356"/>
      <c r="C6" s="1356"/>
      <c r="D6" s="1356"/>
      <c r="E6" s="1356"/>
      <c r="F6" s="1356"/>
      <c r="G6" s="1356"/>
      <c r="H6" s="1356"/>
      <c r="I6" s="1356"/>
      <c r="J6" s="1390"/>
      <c r="K6" s="1371" t="s">
        <v>1053</v>
      </c>
      <c r="L6" s="1372">
        <f ca="1">avg_speed</f>
        <v>10.563903252812876</v>
      </c>
      <c r="M6" s="1348" t="s">
        <v>984</v>
      </c>
      <c r="N6" s="1378">
        <f ca="1">Scenarios!D24</f>
        <v>0.28000000000000003</v>
      </c>
      <c r="O6" s="1364" t="s">
        <v>621</v>
      </c>
      <c r="P6" s="1380">
        <f ca="1">'LCOE analysis'!D18</f>
        <v>15.865899652091185</v>
      </c>
      <c r="Q6" s="1389"/>
      <c r="R6" s="1356"/>
      <c r="S6" s="1356"/>
      <c r="T6" s="1356"/>
      <c r="U6" s="1356"/>
      <c r="V6" s="1356"/>
      <c r="W6" s="1356"/>
      <c r="X6" s="1356"/>
      <c r="Y6" s="1356"/>
      <c r="Z6" s="1356"/>
      <c r="AA6" s="1356"/>
      <c r="AB6" s="1356"/>
      <c r="AC6" s="1356"/>
      <c r="AD6" s="1356"/>
      <c r="AE6" s="1356"/>
      <c r="AF6" s="1356"/>
      <c r="AG6" s="1356"/>
      <c r="AH6" s="1390"/>
    </row>
    <row r="7" spans="1:34" ht="15" customHeight="1" x14ac:dyDescent="0.3">
      <c r="V7" s="612" t="s">
        <v>833</v>
      </c>
    </row>
    <row r="8" spans="1:34" ht="15" customHeight="1" x14ac:dyDescent="0.3">
      <c r="A8" s="1162" t="s">
        <v>817</v>
      </c>
      <c r="B8" s="1163"/>
      <c r="C8" s="1163"/>
      <c r="D8" s="1164"/>
      <c r="F8" s="1165" t="s">
        <v>654</v>
      </c>
      <c r="G8" s="1166"/>
      <c r="H8" s="1167" t="s">
        <v>717</v>
      </c>
      <c r="I8" s="1168" t="s">
        <v>826</v>
      </c>
      <c r="J8" s="1168" t="s">
        <v>439</v>
      </c>
      <c r="K8" s="1168" t="s">
        <v>528</v>
      </c>
      <c r="L8" s="1169" t="s">
        <v>832</v>
      </c>
      <c r="M8" s="1170" t="s">
        <v>867</v>
      </c>
      <c r="N8" s="1170" t="s">
        <v>838</v>
      </c>
      <c r="O8" s="1171" t="s">
        <v>835</v>
      </c>
    </row>
    <row r="9" spans="1:34" ht="15" customHeight="1" x14ac:dyDescent="0.3">
      <c r="A9" s="620" t="s">
        <v>746</v>
      </c>
      <c r="C9" s="511" t="s">
        <v>812</v>
      </c>
      <c r="D9" s="1308">
        <f ca="1">P/1000</f>
        <v>0.15</v>
      </c>
      <c r="F9" s="1172" t="s">
        <v>185</v>
      </c>
      <c r="G9" s="582"/>
      <c r="H9" s="636">
        <f ca="1">'Capex &amp; Opex'!$Y$126</f>
        <v>2.4592512882426636</v>
      </c>
      <c r="I9" s="594">
        <f t="shared" ref="I9:I17" ca="1" si="0">H9*$D$14</f>
        <v>0.27093097345651956</v>
      </c>
      <c r="J9" s="590">
        <f t="shared" ref="J9:J35" ca="1" si="1">I9/Park_AEP*1000000</f>
        <v>17.076307010476384</v>
      </c>
      <c r="K9" s="594">
        <f t="shared" ref="K9:L23" ca="1" si="2">H9/Pp</f>
        <v>0.54650028627614744</v>
      </c>
      <c r="L9" s="591">
        <f t="shared" ca="1" si="2"/>
        <v>6.0206882990337683E-2</v>
      </c>
      <c r="M9" s="592">
        <f t="shared" ref="M9:M19" ca="1" si="3">J9/$J$35</f>
        <v>0.17466347597070817</v>
      </c>
      <c r="N9" s="592">
        <f t="shared" ref="N9:N18" ca="1" si="4">H9/$H$18</f>
        <v>0.22543404360247005</v>
      </c>
      <c r="O9" s="1173">
        <f ca="1">H9/$H$13</f>
        <v>0.32389795980420394</v>
      </c>
      <c r="Q9" s="1174" t="s">
        <v>856</v>
      </c>
    </row>
    <row r="10" spans="1:34" ht="15" customHeight="1" x14ac:dyDescent="0.3">
      <c r="A10" s="620" t="s">
        <v>501</v>
      </c>
      <c r="C10" s="511" t="s">
        <v>666</v>
      </c>
      <c r="D10" s="624">
        <f ca="1">N</f>
        <v>30</v>
      </c>
      <c r="F10" s="620" t="s">
        <v>191</v>
      </c>
      <c r="H10" s="637">
        <f ca="1">'Capex &amp; Opex'!$Y$127</f>
        <v>6.7532274301514705E-2</v>
      </c>
      <c r="I10" s="593">
        <f t="shared" ca="1" si="0"/>
        <v>7.4399004704055619E-3</v>
      </c>
      <c r="J10" s="603">
        <f t="shared" ca="1" si="1"/>
        <v>0.46892395852415181</v>
      </c>
      <c r="K10" s="593">
        <f t="shared" ca="1" si="2"/>
        <v>1.5007172067003268E-2</v>
      </c>
      <c r="L10" s="1175">
        <f t="shared" ca="1" si="2"/>
        <v>1.6533112156456803E-3</v>
      </c>
      <c r="M10" s="1176">
        <f t="shared" ca="1" si="3"/>
        <v>4.7963466873442934E-3</v>
      </c>
      <c r="N10" s="1176">
        <f t="shared" ca="1" si="4"/>
        <v>6.1905319485836205E-3</v>
      </c>
      <c r="O10" s="1177">
        <f t="shared" ref="O10:O18" ca="1" si="5">H10/$H$13</f>
        <v>8.8944004916345649E-3</v>
      </c>
      <c r="Q10" s="1174" t="s">
        <v>191</v>
      </c>
    </row>
    <row r="11" spans="1:34" ht="15" customHeight="1" x14ac:dyDescent="0.3">
      <c r="A11" s="620" t="s">
        <v>502</v>
      </c>
      <c r="B11" s="538"/>
      <c r="C11" s="511" t="s">
        <v>503</v>
      </c>
      <c r="D11" s="1309">
        <f ca="1">Pp</f>
        <v>4.5</v>
      </c>
      <c r="F11" s="620" t="s">
        <v>194</v>
      </c>
      <c r="H11" s="637">
        <f ca="1">'Capex &amp; Opex'!$Y$128</f>
        <v>2.9854113491784893</v>
      </c>
      <c r="I11" s="593">
        <f t="shared" ca="1" si="0"/>
        <v>0.32889701303320334</v>
      </c>
      <c r="J11" s="603">
        <f t="shared" ca="1" si="1"/>
        <v>20.729805447234973</v>
      </c>
      <c r="K11" s="593">
        <f t="shared" ca="1" si="2"/>
        <v>0.66342474426188647</v>
      </c>
      <c r="L11" s="1175">
        <f t="shared" ca="1" si="2"/>
        <v>7.3088225118489628E-2</v>
      </c>
      <c r="M11" s="1176">
        <f t="shared" ca="1" si="3"/>
        <v>0.21203295732439353</v>
      </c>
      <c r="N11" s="1176">
        <f t="shared" ca="1" si="4"/>
        <v>0.27366595495124685</v>
      </c>
      <c r="O11" s="1177">
        <f t="shared" ca="1" si="5"/>
        <v>0.3931963560609566</v>
      </c>
      <c r="Q11" s="1174" t="s">
        <v>857</v>
      </c>
    </row>
    <row r="12" spans="1:34" ht="15" customHeight="1" x14ac:dyDescent="0.3">
      <c r="A12" s="620" t="s">
        <v>736</v>
      </c>
      <c r="C12" s="511" t="s">
        <v>415</v>
      </c>
      <c r="D12" s="1179">
        <f ca="1">Project_WACC</f>
        <v>0.1</v>
      </c>
      <c r="F12" s="1180" t="s">
        <v>199</v>
      </c>
      <c r="G12" s="579"/>
      <c r="H12" s="638">
        <f ca="1">'Capex &amp; Opex'!$Y$129</f>
        <v>2.0804780700067611</v>
      </c>
      <c r="I12" s="598">
        <f t="shared" ca="1" si="0"/>
        <v>0.22920225820626011</v>
      </c>
      <c r="J12" s="595">
        <f t="shared" ca="1" si="1"/>
        <v>14.446218823528888</v>
      </c>
      <c r="K12" s="598">
        <f t="shared" ca="1" si="2"/>
        <v>0.46232846000150246</v>
      </c>
      <c r="L12" s="599">
        <f t="shared" ca="1" si="2"/>
        <v>5.0933835156946689E-2</v>
      </c>
      <c r="M12" s="597">
        <f t="shared" ca="1" si="3"/>
        <v>0.14776185464474373</v>
      </c>
      <c r="N12" s="597">
        <f t="shared" ca="1" si="4"/>
        <v>0.19071275318230427</v>
      </c>
      <c r="O12" s="1181">
        <f t="shared" ca="1" si="5"/>
        <v>0.27401128364320493</v>
      </c>
      <c r="Q12" s="1174" t="s">
        <v>858</v>
      </c>
    </row>
    <row r="13" spans="1:34" ht="15" customHeight="1" x14ac:dyDescent="0.3">
      <c r="A13" s="620" t="str">
        <f>Scenarios!$A$33</f>
        <v>Park life</v>
      </c>
      <c r="C13" s="511" t="s">
        <v>779</v>
      </c>
      <c r="D13" s="624">
        <f ca="1">horizon</f>
        <v>25</v>
      </c>
      <c r="F13" s="1182" t="s">
        <v>813</v>
      </c>
      <c r="G13" s="600"/>
      <c r="H13" s="608">
        <f ca="1">SUM(H9:H12)</f>
        <v>7.5926729817294287</v>
      </c>
      <c r="I13" s="601">
        <f t="shared" ca="1" si="0"/>
        <v>0.83647014516638862</v>
      </c>
      <c r="J13" s="602">
        <f t="shared" ca="1" si="1"/>
        <v>52.721255239764403</v>
      </c>
      <c r="K13" s="601">
        <f t="shared" ca="1" si="2"/>
        <v>1.6872606626065396</v>
      </c>
      <c r="L13" s="609">
        <f t="shared" ca="1" si="2"/>
        <v>0.18588225448141971</v>
      </c>
      <c r="M13" s="610">
        <f t="shared" ca="1" si="3"/>
        <v>0.53925463462718981</v>
      </c>
      <c r="N13" s="610">
        <f t="shared" ca="1" si="4"/>
        <v>0.69600328368460485</v>
      </c>
      <c r="O13" s="1183">
        <f t="shared" ca="1" si="5"/>
        <v>1</v>
      </c>
      <c r="Q13" s="1184" t="s">
        <v>859</v>
      </c>
    </row>
    <row r="14" spans="1:34" ht="15" customHeight="1" x14ac:dyDescent="0.3">
      <c r="A14" s="1180" t="s">
        <v>865</v>
      </c>
      <c r="B14" s="579"/>
      <c r="C14" s="579" t="s">
        <v>465</v>
      </c>
      <c r="D14" s="1185">
        <f ca="1">PMT($D$12,$D$13,-1)</f>
        <v>0.11016807219002085</v>
      </c>
      <c r="F14" s="620" t="s">
        <v>849</v>
      </c>
      <c r="H14" s="637">
        <f ca="1">'Capex &amp; Opex'!$Y$131</f>
        <v>0.19963725451724446</v>
      </c>
      <c r="I14" s="593">
        <f t="shared" ca="1" si="0"/>
        <v>2.1993651467473355E-2</v>
      </c>
      <c r="J14" s="603">
        <f t="shared" ca="1" si="1"/>
        <v>1.3862215159399742</v>
      </c>
      <c r="K14" s="593">
        <f t="shared" ca="1" si="2"/>
        <v>4.4363834337165432E-2</v>
      </c>
      <c r="L14" s="1175">
        <f t="shared" ca="1" si="2"/>
        <v>4.887478103882968E-3</v>
      </c>
      <c r="M14" s="1176">
        <f t="shared" ca="1" si="3"/>
        <v>1.4178842550143737E-2</v>
      </c>
      <c r="N14" s="1176">
        <f t="shared" ca="1" si="4"/>
        <v>1.8300298857087387E-2</v>
      </c>
      <c r="O14" s="1177">
        <f t="shared" ca="1" si="5"/>
        <v>2.6293408789979506E-2</v>
      </c>
      <c r="Q14" s="1174" t="s">
        <v>842</v>
      </c>
    </row>
    <row r="15" spans="1:34" ht="15" customHeight="1" x14ac:dyDescent="0.3">
      <c r="F15" s="620" t="s">
        <v>850</v>
      </c>
      <c r="H15" s="637">
        <f ca="1">'Capex &amp; Opex'!$Y$132</f>
        <v>2.167440790320438</v>
      </c>
      <c r="I15" s="593">
        <f t="shared" ca="1" si="0"/>
        <v>0.23878277345561785</v>
      </c>
      <c r="J15" s="603">
        <f t="shared" ca="1" si="1"/>
        <v>15.050062000369792</v>
      </c>
      <c r="K15" s="593">
        <f t="shared" ca="1" si="2"/>
        <v>0.48165350896009734</v>
      </c>
      <c r="L15" s="1175">
        <f t="shared" ca="1" si="2"/>
        <v>5.3062838545692853E-2</v>
      </c>
      <c r="M15" s="1176">
        <f t="shared" ca="1" si="3"/>
        <v>0.15393821046591288</v>
      </c>
      <c r="N15" s="1176">
        <f t="shared" ca="1" si="4"/>
        <v>0.19868443048779499</v>
      </c>
      <c r="O15" s="1177">
        <f t="shared" ca="1" si="5"/>
        <v>0.28546478895325045</v>
      </c>
      <c r="Q15" s="1174" t="s">
        <v>848</v>
      </c>
    </row>
    <row r="16" spans="1:34" ht="15" customHeight="1" x14ac:dyDescent="0.3">
      <c r="A16" s="1162" t="s">
        <v>818</v>
      </c>
      <c r="B16" s="1163"/>
      <c r="C16" s="1163"/>
      <c r="D16" s="1164"/>
      <c r="F16" s="620" t="s">
        <v>207</v>
      </c>
      <c r="H16" s="637">
        <f ca="1">'Capex &amp; Opex'!$Y$133</f>
        <v>0.94921041041665855</v>
      </c>
      <c r="I16" s="593">
        <f t="shared" ca="1" si="0"/>
        <v>0.10457268101830176</v>
      </c>
      <c r="J16" s="603">
        <f t="shared" ca="1" si="1"/>
        <v>6.5910338090735801</v>
      </c>
      <c r="K16" s="593">
        <f t="shared" ca="1" si="2"/>
        <v>0.21093564675925747</v>
      </c>
      <c r="L16" s="1175">
        <f t="shared" ca="1" si="2"/>
        <v>2.3238373559622615E-2</v>
      </c>
      <c r="M16" s="1176">
        <f t="shared" ca="1" si="3"/>
        <v>6.7415798663433182E-2</v>
      </c>
      <c r="N16" s="1176">
        <f t="shared" ca="1" si="4"/>
        <v>8.7011986970512822E-2</v>
      </c>
      <c r="O16" s="1177">
        <f t="shared" ca="1" si="5"/>
        <v>0.12501663283810377</v>
      </c>
      <c r="Q16" s="1174" t="s">
        <v>843</v>
      </c>
    </row>
    <row r="17" spans="1:17" ht="15" customHeight="1" x14ac:dyDescent="0.3">
      <c r="A17" s="620" t="s">
        <v>714</v>
      </c>
      <c r="C17" s="511" t="s">
        <v>48</v>
      </c>
      <c r="D17" s="1178">
        <f ca="1">avg_speed</f>
        <v>10.563903252812876</v>
      </c>
      <c r="F17" s="1182" t="s">
        <v>820</v>
      </c>
      <c r="G17" s="600"/>
      <c r="H17" s="602">
        <f ca="1">SUM(H14:H16)</f>
        <v>3.316288455254341</v>
      </c>
      <c r="I17" s="601">
        <f t="shared" ca="1" si="0"/>
        <v>0.36534910594139297</v>
      </c>
      <c r="J17" s="602">
        <f t="shared" ca="1" si="1"/>
        <v>23.027317325383343</v>
      </c>
      <c r="K17" s="601">
        <f t="shared" ca="1" si="2"/>
        <v>0.73695299005652026</v>
      </c>
      <c r="L17" s="609">
        <f t="shared" ca="1" si="2"/>
        <v>8.1188690209198444E-2</v>
      </c>
      <c r="M17" s="610">
        <f t="shared" ca="1" si="3"/>
        <v>0.23553285167948979</v>
      </c>
      <c r="N17" s="610">
        <f t="shared" ca="1" si="4"/>
        <v>0.30399671631539521</v>
      </c>
      <c r="O17" s="1183">
        <f t="shared" ca="1" si="5"/>
        <v>0.43677483058133371</v>
      </c>
      <c r="Q17" s="1184" t="s">
        <v>860</v>
      </c>
    </row>
    <row r="18" spans="1:17" ht="15" customHeight="1" x14ac:dyDescent="0.3">
      <c r="A18" s="620" t="s">
        <v>445</v>
      </c>
      <c r="C18" s="511" t="s">
        <v>747</v>
      </c>
      <c r="D18" s="1178">
        <f ca="1">Park_AEP/1000</f>
        <v>15.865899652091185</v>
      </c>
      <c r="F18" s="1186" t="s">
        <v>654</v>
      </c>
      <c r="G18" s="1187"/>
      <c r="H18" s="1188">
        <f ca="1">H13+H17</f>
        <v>10.90896143698377</v>
      </c>
      <c r="I18" s="1189">
        <f ca="1">I13+I17</f>
        <v>1.2018192511077816</v>
      </c>
      <c r="J18" s="1190">
        <f t="shared" ca="1" si="1"/>
        <v>75.748572565147754</v>
      </c>
      <c r="K18" s="1191">
        <f t="shared" ca="1" si="2"/>
        <v>2.42421365266306</v>
      </c>
      <c r="L18" s="1192">
        <f t="shared" ca="1" si="2"/>
        <v>0.26707094469061815</v>
      </c>
      <c r="M18" s="1193">
        <f t="shared" ca="1" si="3"/>
        <v>0.7747874863066796</v>
      </c>
      <c r="N18" s="1193">
        <f t="shared" ca="1" si="4"/>
        <v>1</v>
      </c>
      <c r="O18" s="1194">
        <f t="shared" ca="1" si="5"/>
        <v>1.4367748305813337</v>
      </c>
      <c r="Q18" s="1184" t="s">
        <v>861</v>
      </c>
    </row>
    <row r="19" spans="1:17" ht="15" customHeight="1" x14ac:dyDescent="0.3">
      <c r="A19" s="620" t="s">
        <v>21</v>
      </c>
      <c r="C19" s="511" t="s">
        <v>415</v>
      </c>
      <c r="D19" s="1195">
        <f ca="1">CapFac</f>
        <v>0.40220801713922949</v>
      </c>
      <c r="H19" s="611">
        <f ca="1">H18-H17-H13</f>
        <v>0</v>
      </c>
      <c r="I19" s="611">
        <f ca="1">I18-I17-I13</f>
        <v>0</v>
      </c>
      <c r="J19" s="611">
        <f t="shared" ca="1" si="1"/>
        <v>0</v>
      </c>
      <c r="K19" s="611">
        <f ca="1">K18-K17-K13</f>
        <v>0</v>
      </c>
      <c r="L19" s="611">
        <f t="shared" ca="1" si="2"/>
        <v>0</v>
      </c>
      <c r="M19" s="611">
        <f t="shared" ca="1" si="3"/>
        <v>0</v>
      </c>
      <c r="N19" s="611">
        <f ca="1">N18-N17-N13</f>
        <v>0</v>
      </c>
      <c r="O19" s="611">
        <f ca="1">O18-O17-O13</f>
        <v>0</v>
      </c>
      <c r="Q19" s="1174"/>
    </row>
    <row r="20" spans="1:17" ht="15" customHeight="1" x14ac:dyDescent="0.3">
      <c r="A20" s="620" t="s">
        <v>815</v>
      </c>
      <c r="C20" s="511" t="s">
        <v>816</v>
      </c>
      <c r="D20" s="626">
        <f ca="1">D18/D11*1000</f>
        <v>3525.7554782424859</v>
      </c>
      <c r="F20" s="1165" t="s">
        <v>814</v>
      </c>
      <c r="G20" s="1166"/>
      <c r="H20" s="1167" t="s">
        <v>995</v>
      </c>
      <c r="I20" s="1168" t="s">
        <v>745</v>
      </c>
      <c r="J20" s="1168" t="s">
        <v>439</v>
      </c>
      <c r="K20" s="1168" t="s">
        <v>996</v>
      </c>
      <c r="L20" s="1169" t="s">
        <v>832</v>
      </c>
      <c r="M20" s="1170" t="s">
        <v>867</v>
      </c>
      <c r="N20" s="1170" t="s">
        <v>839</v>
      </c>
      <c r="O20" s="1171" t="s">
        <v>837</v>
      </c>
      <c r="Q20" s="1174"/>
    </row>
    <row r="21" spans="1:17" ht="15" customHeight="1" x14ac:dyDescent="0.3">
      <c r="A21" s="1180" t="s">
        <v>623</v>
      </c>
      <c r="B21" s="579"/>
      <c r="C21" s="579" t="s">
        <v>745</v>
      </c>
      <c r="D21" s="1196">
        <f ca="1">J35*D18/1000</f>
        <v>1.5511598629925116</v>
      </c>
      <c r="F21" s="1172" t="s">
        <v>185</v>
      </c>
      <c r="G21" s="582"/>
      <c r="H21" s="590">
        <f t="shared" ref="H21:H29" ca="1" si="6">I21/$D$14</f>
        <v>1.1620480926634147</v>
      </c>
      <c r="I21" s="633">
        <f ca="1">'Capex &amp; Opex'!$Y$187</f>
        <v>0.12802059816081912</v>
      </c>
      <c r="J21" s="590">
        <f t="shared" ca="1" si="1"/>
        <v>8.0689151556524248</v>
      </c>
      <c r="K21" s="594">
        <f t="shared" ref="K21:L35" ca="1" si="7">H21/Pp</f>
        <v>0.25823290948075883</v>
      </c>
      <c r="L21" s="591">
        <f t="shared" ca="1" si="2"/>
        <v>2.8449021813515361E-2</v>
      </c>
      <c r="M21" s="592">
        <f t="shared" ref="M21:M30" ca="1" si="8">J21/$J$35</f>
        <v>8.2532175577210085E-2</v>
      </c>
      <c r="N21" s="592">
        <f ca="1">I21/$I$30</f>
        <v>0.52290746050545012</v>
      </c>
      <c r="O21" s="1173">
        <f t="shared" ref="O21:O30" ca="1" si="9">H21/$H$25</f>
        <v>0.61344806705176413</v>
      </c>
      <c r="Q21" s="1174" t="s">
        <v>856</v>
      </c>
    </row>
    <row r="22" spans="1:17" ht="15" customHeight="1" x14ac:dyDescent="0.3">
      <c r="F22" s="620" t="s">
        <v>191</v>
      </c>
      <c r="H22" s="603">
        <f t="shared" ca="1" si="6"/>
        <v>0.28983572753100278</v>
      </c>
      <c r="I22" s="634">
        <f ca="1">'Capex &amp; Opex'!$Y$188</f>
        <v>3.193064335388273E-2</v>
      </c>
      <c r="J22" s="603">
        <f t="shared" ca="1" si="1"/>
        <v>2.0125327938573059</v>
      </c>
      <c r="K22" s="593">
        <f t="shared" ca="1" si="7"/>
        <v>6.4407939451333954E-2</v>
      </c>
      <c r="L22" s="1175">
        <f t="shared" ca="1" si="2"/>
        <v>7.0956985230850511E-3</v>
      </c>
      <c r="M22" s="1176">
        <f t="shared" ca="1" si="8"/>
        <v>2.0585011329703855E-2</v>
      </c>
      <c r="N22" s="1176">
        <f t="shared" ref="N22:N30" ca="1" si="10">I22/$I$30</f>
        <v>0.13042254034393441</v>
      </c>
      <c r="O22" s="1177">
        <f t="shared" ca="1" si="9"/>
        <v>0.15300499862180375</v>
      </c>
      <c r="Q22" s="1174" t="s">
        <v>191</v>
      </c>
    </row>
    <row r="23" spans="1:17" ht="15" customHeight="1" x14ac:dyDescent="0.3">
      <c r="F23" s="1197" t="s">
        <v>194</v>
      </c>
      <c r="H23" s="603">
        <f t="shared" ca="1" si="6"/>
        <v>0.2565114944413045</v>
      </c>
      <c r="I23" s="634">
        <f ca="1">'Capex &amp; Opex'!$Y$189</f>
        <v>2.8259376837179766E-2</v>
      </c>
      <c r="J23" s="603">
        <f t="shared" ca="1" si="1"/>
        <v>1.781139264514072</v>
      </c>
      <c r="K23" s="593">
        <f t="shared" ca="1" si="7"/>
        <v>5.7002554320289889E-2</v>
      </c>
      <c r="L23" s="1175">
        <f t="shared" ca="1" si="2"/>
        <v>6.2798615193732817E-3</v>
      </c>
      <c r="M23" s="1176">
        <f t="shared" ca="1" si="8"/>
        <v>1.8218223351048758E-2</v>
      </c>
      <c r="N23" s="1176">
        <f t="shared" ca="1" si="10"/>
        <v>0.11542704212984019</v>
      </c>
      <c r="O23" s="1177">
        <f t="shared" ca="1" si="9"/>
        <v>0.13541305341409449</v>
      </c>
      <c r="Q23" s="1174" t="s">
        <v>857</v>
      </c>
    </row>
    <row r="24" spans="1:17" ht="15" customHeight="1" x14ac:dyDescent="0.3">
      <c r="F24" s="1180" t="s">
        <v>199</v>
      </c>
      <c r="G24" s="579"/>
      <c r="H24" s="595">
        <f t="shared" ca="1" si="6"/>
        <v>0.18589395788285695</v>
      </c>
      <c r="I24" s="635">
        <f ca="1">'Capex &amp; Opex'!$Y$190</f>
        <v>2.047957897172728E-2</v>
      </c>
      <c r="J24" s="595">
        <f t="shared" ca="1" si="1"/>
        <v>1.2907921656385866</v>
      </c>
      <c r="K24" s="598">
        <f t="shared" ca="1" si="7"/>
        <v>4.1309768418412655E-2</v>
      </c>
      <c r="L24" s="599">
        <f t="shared" ca="1" si="7"/>
        <v>4.5510175492727289E-3</v>
      </c>
      <c r="M24" s="597">
        <f t="shared" ca="1" si="8"/>
        <v>1.3202751992446407E-2</v>
      </c>
      <c r="N24" s="597">
        <f t="shared" ca="1" si="10"/>
        <v>8.3650012468104606E-2</v>
      </c>
      <c r="O24" s="1181">
        <f t="shared" ca="1" si="9"/>
        <v>9.8133880912337657E-2</v>
      </c>
      <c r="Q24" s="1174" t="s">
        <v>858</v>
      </c>
    </row>
    <row r="25" spans="1:17" ht="15" customHeight="1" x14ac:dyDescent="0.3">
      <c r="F25" s="1182" t="s">
        <v>819</v>
      </c>
      <c r="G25" s="600"/>
      <c r="H25" s="608">
        <f t="shared" ca="1" si="6"/>
        <v>1.8942892725185789</v>
      </c>
      <c r="I25" s="601">
        <f ca="1">'Capex &amp; Opex'!$Y$191</f>
        <v>0.20869019732360888</v>
      </c>
      <c r="J25" s="602">
        <f t="shared" ca="1" si="1"/>
        <v>13.15337937966239</v>
      </c>
      <c r="K25" s="601">
        <f t="shared" ca="1" si="7"/>
        <v>0.42095317167079532</v>
      </c>
      <c r="L25" s="609">
        <f t="shared" ca="1" si="7"/>
        <v>4.6375599405246416E-2</v>
      </c>
      <c r="M25" s="610">
        <f t="shared" ca="1" si="8"/>
        <v>0.1345381622504091</v>
      </c>
      <c r="N25" s="610">
        <f t="shared" ca="1" si="10"/>
        <v>0.8524070554473292</v>
      </c>
      <c r="O25" s="1183">
        <f t="shared" ca="1" si="9"/>
        <v>1</v>
      </c>
      <c r="Q25" s="1184" t="s">
        <v>862</v>
      </c>
    </row>
    <row r="26" spans="1:17" ht="15" customHeight="1" x14ac:dyDescent="0.3">
      <c r="F26" s="620" t="s">
        <v>851</v>
      </c>
      <c r="H26" s="603">
        <f t="shared" ca="1" si="6"/>
        <v>0.3279932161270448</v>
      </c>
      <c r="I26" s="634">
        <f ca="1">'Capex &amp; Opex'!$Y$192</f>
        <v>3.6134380312121385E-2</v>
      </c>
      <c r="J26" s="603">
        <f t="shared" ca="1" si="1"/>
        <v>2.2774870070074305</v>
      </c>
      <c r="K26" s="593">
        <f t="shared" ca="1" si="7"/>
        <v>7.2887381361565515E-2</v>
      </c>
      <c r="L26" s="1175">
        <f t="shared" ca="1" si="7"/>
        <v>8.0298622915825294E-3</v>
      </c>
      <c r="M26" s="1176">
        <f t="shared" ca="1" si="8"/>
        <v>2.3295071755151407E-2</v>
      </c>
      <c r="N26" s="1176">
        <f t="shared" ca="1" si="10"/>
        <v>0.1475929445526708</v>
      </c>
      <c r="O26" s="1177">
        <f t="shared" ca="1" si="9"/>
        <v>0.17314843138553848</v>
      </c>
      <c r="Q26" s="1174" t="s">
        <v>855</v>
      </c>
    </row>
    <row r="27" spans="1:17" ht="15" customHeight="1" outlineLevel="1" x14ac:dyDescent="0.3">
      <c r="F27" s="1197" t="s">
        <v>802</v>
      </c>
      <c r="H27" s="603">
        <f t="shared" ca="1" si="6"/>
        <v>0</v>
      </c>
      <c r="I27" s="634">
        <f ca="1">'Capex &amp; Opex'!$Y$193</f>
        <v>0</v>
      </c>
      <c r="J27" s="603">
        <f t="shared" ca="1" si="1"/>
        <v>0</v>
      </c>
      <c r="K27" s="593">
        <f t="shared" ca="1" si="7"/>
        <v>0</v>
      </c>
      <c r="L27" s="1175">
        <f t="shared" ca="1" si="7"/>
        <v>0</v>
      </c>
      <c r="M27" s="1176">
        <f t="shared" ca="1" si="8"/>
        <v>0</v>
      </c>
      <c r="N27" s="1176">
        <f t="shared" ca="1" si="10"/>
        <v>0</v>
      </c>
      <c r="O27" s="1177">
        <f t="shared" ca="1" si="9"/>
        <v>0</v>
      </c>
      <c r="Q27" s="1174"/>
    </row>
    <row r="28" spans="1:17" ht="15" customHeight="1" outlineLevel="1" x14ac:dyDescent="0.3">
      <c r="F28" s="1197" t="s">
        <v>803</v>
      </c>
      <c r="H28" s="603">
        <f t="shared" ca="1" si="6"/>
        <v>0</v>
      </c>
      <c r="I28" s="634">
        <f ca="1">'Capex &amp; Opex'!$Y$194</f>
        <v>0</v>
      </c>
      <c r="J28" s="603">
        <f t="shared" ca="1" si="1"/>
        <v>0</v>
      </c>
      <c r="K28" s="593">
        <f t="shared" ca="1" si="7"/>
        <v>0</v>
      </c>
      <c r="L28" s="1175">
        <f t="shared" ca="1" si="7"/>
        <v>0</v>
      </c>
      <c r="M28" s="1176">
        <f t="shared" ca="1" si="8"/>
        <v>0</v>
      </c>
      <c r="N28" s="1176">
        <f t="shared" ca="1" si="10"/>
        <v>0</v>
      </c>
      <c r="O28" s="1177">
        <f t="shared" ca="1" si="9"/>
        <v>0</v>
      </c>
      <c r="Q28" s="1198" t="s">
        <v>852</v>
      </c>
    </row>
    <row r="29" spans="1:17" ht="15" customHeight="1" x14ac:dyDescent="0.3">
      <c r="F29" s="1182" t="s">
        <v>820</v>
      </c>
      <c r="G29" s="600"/>
      <c r="H29" s="602">
        <f t="shared" ca="1" si="6"/>
        <v>0.3279932161270448</v>
      </c>
      <c r="I29" s="601">
        <f ca="1">'Capex &amp; Opex'!$Y$195</f>
        <v>3.6134380312121385E-2</v>
      </c>
      <c r="J29" s="602">
        <f t="shared" ca="1" si="1"/>
        <v>2.2774870070074305</v>
      </c>
      <c r="K29" s="601">
        <f t="shared" ca="1" si="7"/>
        <v>7.2887381361565515E-2</v>
      </c>
      <c r="L29" s="609">
        <f t="shared" ca="1" si="7"/>
        <v>8.0298622915825294E-3</v>
      </c>
      <c r="M29" s="610">
        <f t="shared" ca="1" si="8"/>
        <v>2.3295071755151407E-2</v>
      </c>
      <c r="N29" s="610">
        <f t="shared" ca="1" si="10"/>
        <v>0.1475929445526708</v>
      </c>
      <c r="O29" s="1183">
        <f t="shared" ca="1" si="9"/>
        <v>0.17314843138553848</v>
      </c>
      <c r="Q29" s="1184" t="s">
        <v>863</v>
      </c>
    </row>
    <row r="30" spans="1:17" ht="15" customHeight="1" x14ac:dyDescent="0.3">
      <c r="F30" s="1186" t="s">
        <v>814</v>
      </c>
      <c r="G30" s="1187"/>
      <c r="H30" s="1190">
        <f ca="1">H25+H29</f>
        <v>2.2222824886456238</v>
      </c>
      <c r="I30" s="1191">
        <f ca="1">I25+I29</f>
        <v>0.24482457763573026</v>
      </c>
      <c r="J30" s="1190">
        <f t="shared" ca="1" si="1"/>
        <v>15.430866386669821</v>
      </c>
      <c r="K30" s="1189">
        <f t="shared" ca="1" si="7"/>
        <v>0.49384055303236085</v>
      </c>
      <c r="L30" s="1199">
        <f t="shared" ca="1" si="7"/>
        <v>5.4405461696828944E-2</v>
      </c>
      <c r="M30" s="1193">
        <f t="shared" ca="1" si="8"/>
        <v>0.15783323400556051</v>
      </c>
      <c r="N30" s="1193">
        <f t="shared" ca="1" si="10"/>
        <v>1</v>
      </c>
      <c r="O30" s="1194">
        <f t="shared" ca="1" si="9"/>
        <v>1.1731484313855385</v>
      </c>
      <c r="Q30" s="1184" t="s">
        <v>864</v>
      </c>
    </row>
    <row r="31" spans="1:17" ht="15" customHeight="1" x14ac:dyDescent="0.3">
      <c r="I31" s="554"/>
      <c r="J31" s="554"/>
      <c r="K31" s="554"/>
      <c r="L31" s="554"/>
      <c r="M31" s="554"/>
      <c r="N31" s="554" t="s">
        <v>838</v>
      </c>
      <c r="Q31" s="1174"/>
    </row>
    <row r="32" spans="1:17" ht="15" customHeight="1" x14ac:dyDescent="0.3">
      <c r="F32" s="1200" t="s">
        <v>844</v>
      </c>
      <c r="G32" s="1201"/>
      <c r="H32" s="1202">
        <f ca="1">H30+H18</f>
        <v>13.131243925629393</v>
      </c>
      <c r="I32" s="1203">
        <f ca="1">I18+I30</f>
        <v>1.4466438287435119</v>
      </c>
      <c r="J32" s="616">
        <f t="shared" ca="1" si="1"/>
        <v>91.179438951817573</v>
      </c>
      <c r="K32" s="1203">
        <f t="shared" ca="1" si="7"/>
        <v>2.9180542056954208</v>
      </c>
      <c r="L32" s="1204">
        <f t="shared" ca="1" si="7"/>
        <v>0.32147640638744712</v>
      </c>
      <c r="M32" s="1205">
        <f ca="1">J32/$J$35</f>
        <v>0.93262072031224019</v>
      </c>
      <c r="N32" s="1206">
        <f t="shared" ref="N32:N38" ca="1" si="11">H32/$H$18</f>
        <v>1.2037116458319854</v>
      </c>
      <c r="O32" s="1548"/>
      <c r="Q32" s="1174"/>
    </row>
    <row r="33" spans="6:39" ht="15" customHeight="1" x14ac:dyDescent="0.3">
      <c r="F33" s="1197" t="s">
        <v>845</v>
      </c>
      <c r="H33" s="603">
        <f ca="1">AWES_margin*H13</f>
        <v>0.75926729817294292</v>
      </c>
      <c r="I33" s="593">
        <f ca="1">AWES_margin*I13</f>
        <v>8.3647014516638862E-2</v>
      </c>
      <c r="J33" s="603">
        <f t="shared" ca="1" si="1"/>
        <v>5.27212552397644</v>
      </c>
      <c r="K33" s="593">
        <f t="shared" ca="1" si="7"/>
        <v>0.16872606626065398</v>
      </c>
      <c r="L33" s="1175">
        <f t="shared" ca="1" si="7"/>
        <v>1.8588225448141968E-2</v>
      </c>
      <c r="M33" s="1176">
        <f ca="1">J33/$J$35</f>
        <v>5.3925463462718974E-2</v>
      </c>
      <c r="N33" s="1177">
        <f t="shared" ca="1" si="11"/>
        <v>6.9600328368460487E-2</v>
      </c>
      <c r="O33" s="1176"/>
      <c r="Q33" s="1198" t="s">
        <v>833</v>
      </c>
      <c r="R33" s="543"/>
      <c r="S33" s="543"/>
      <c r="T33" s="543"/>
      <c r="U33" s="543"/>
      <c r="V33" s="543"/>
    </row>
    <row r="34" spans="6:39" ht="15" customHeight="1" x14ac:dyDescent="0.3">
      <c r="F34" s="1197" t="s">
        <v>846</v>
      </c>
      <c r="H34" s="603">
        <f ca="1">SP_margin*H25</f>
        <v>0.18942892725185789</v>
      </c>
      <c r="I34" s="593">
        <f ca="1">SP_margin*I25</f>
        <v>2.086901973236089E-2</v>
      </c>
      <c r="J34" s="603">
        <f t="shared" ca="1" si="1"/>
        <v>1.3153379379662391</v>
      </c>
      <c r="K34" s="593">
        <f t="shared" ca="1" si="7"/>
        <v>4.2095317167079531E-2</v>
      </c>
      <c r="L34" s="1175">
        <f t="shared" ca="1" si="7"/>
        <v>4.637559940524642E-3</v>
      </c>
      <c r="M34" s="1176">
        <f ca="1">J34/$J$35</f>
        <v>1.3453816225040912E-2</v>
      </c>
      <c r="N34" s="1177">
        <f t="shared" ca="1" si="11"/>
        <v>1.7364524418397184E-2</v>
      </c>
      <c r="O34" s="1176"/>
      <c r="Q34" s="1198" t="s">
        <v>997</v>
      </c>
      <c r="R34" s="543"/>
      <c r="S34" s="543"/>
      <c r="T34" s="543"/>
      <c r="U34" s="543"/>
      <c r="V34" s="543"/>
    </row>
    <row r="35" spans="6:39" ht="15" customHeight="1" x14ac:dyDescent="0.3">
      <c r="F35" s="1207" t="s">
        <v>847</v>
      </c>
      <c r="G35" s="1208"/>
      <c r="H35" s="1209">
        <f ca="1">SUM(H32:H34)</f>
        <v>14.079940151054195</v>
      </c>
      <c r="I35" s="1210">
        <f ca="1">SUM(I32:I34)</f>
        <v>1.5511598629925116</v>
      </c>
      <c r="J35" s="1211">
        <f t="shared" ca="1" si="1"/>
        <v>97.766902413760249</v>
      </c>
      <c r="K35" s="1210">
        <f t="shared" ca="1" si="7"/>
        <v>3.1288755891231546</v>
      </c>
      <c r="L35" s="1212">
        <f t="shared" ca="1" si="7"/>
        <v>0.34470219177611372</v>
      </c>
      <c r="M35" s="1213">
        <f ca="1">J35/$J$35</f>
        <v>1</v>
      </c>
      <c r="N35" s="1547">
        <f t="shared" ca="1" si="11"/>
        <v>1.290676498618843</v>
      </c>
      <c r="O35" s="1548"/>
      <c r="Q35" s="1174"/>
    </row>
    <row r="36" spans="6:39" ht="15" customHeight="1" x14ac:dyDescent="0.3">
      <c r="F36" s="1543" t="s">
        <v>1153</v>
      </c>
      <c r="G36" s="1544"/>
      <c r="H36" s="590">
        <f t="shared" ref="H36:M36" ca="1" si="12">H33+H13</f>
        <v>8.3519402799023723</v>
      </c>
      <c r="I36" s="594">
        <f t="shared" ca="1" si="12"/>
        <v>0.92011715968302754</v>
      </c>
      <c r="J36" s="590">
        <f t="shared" ca="1" si="12"/>
        <v>57.993380763740845</v>
      </c>
      <c r="K36" s="594">
        <f t="shared" ca="1" si="12"/>
        <v>1.8559867288671936</v>
      </c>
      <c r="L36" s="591">
        <f t="shared" ca="1" si="12"/>
        <v>0.20447047992956169</v>
      </c>
      <c r="M36" s="592">
        <f t="shared" ca="1" si="12"/>
        <v>0.59318009808990879</v>
      </c>
      <c r="N36" s="1177">
        <f t="shared" ca="1" si="11"/>
        <v>0.76560361205306537</v>
      </c>
      <c r="Q36" s="1174"/>
    </row>
    <row r="37" spans="6:39" ht="15" customHeight="1" x14ac:dyDescent="0.3">
      <c r="F37" s="1197" t="str">
        <f t="shared" ref="F37:M37" si="13">F17</f>
        <v>BOP</v>
      </c>
      <c r="G37" s="543"/>
      <c r="H37" s="603">
        <f t="shared" ca="1" si="13"/>
        <v>3.316288455254341</v>
      </c>
      <c r="I37" s="593">
        <f t="shared" ca="1" si="13"/>
        <v>0.36534910594139297</v>
      </c>
      <c r="J37" s="603">
        <f t="shared" ca="1" si="13"/>
        <v>23.027317325383343</v>
      </c>
      <c r="K37" s="593">
        <f t="shared" ca="1" si="13"/>
        <v>0.73695299005652026</v>
      </c>
      <c r="L37" s="1175">
        <f t="shared" ca="1" si="13"/>
        <v>8.1188690209198444E-2</v>
      </c>
      <c r="M37" s="1176">
        <f t="shared" ca="1" si="13"/>
        <v>0.23553285167948979</v>
      </c>
      <c r="N37" s="1177">
        <f t="shared" ca="1" si="11"/>
        <v>0.30399671631539521</v>
      </c>
    </row>
    <row r="38" spans="6:39" ht="15" customHeight="1" x14ac:dyDescent="0.3">
      <c r="F38" s="1545" t="s">
        <v>1154</v>
      </c>
      <c r="G38" s="1546"/>
      <c r="H38" s="595">
        <f t="shared" ref="H38:M38" ca="1" si="14">H34+H30</f>
        <v>2.4117114158974817</v>
      </c>
      <c r="I38" s="598">
        <f t="shared" ca="1" si="14"/>
        <v>0.26569359736809117</v>
      </c>
      <c r="J38" s="595">
        <f t="shared" ca="1" si="14"/>
        <v>16.746204324636061</v>
      </c>
      <c r="K38" s="598">
        <f t="shared" ca="1" si="14"/>
        <v>0.53593587019944033</v>
      </c>
      <c r="L38" s="599">
        <f t="shared" ca="1" si="14"/>
        <v>5.9043021637353588E-2</v>
      </c>
      <c r="M38" s="597">
        <f t="shared" ca="1" si="14"/>
        <v>0.17128705023060142</v>
      </c>
      <c r="N38" s="1181">
        <f t="shared" ca="1" si="11"/>
        <v>0.22107617025038254</v>
      </c>
    </row>
    <row r="39" spans="6:39" ht="15" customHeight="1" x14ac:dyDescent="0.3">
      <c r="H39" s="1542">
        <f ca="1">SUM(H36:H38)-H35</f>
        <v>0</v>
      </c>
      <c r="I39" s="1542">
        <f t="shared" ref="I39:N39" ca="1" si="15">SUM(I36:I38)-I35</f>
        <v>0</v>
      </c>
      <c r="J39" s="1542">
        <f t="shared" ca="1" si="15"/>
        <v>0</v>
      </c>
      <c r="K39" s="1542">
        <f t="shared" ca="1" si="15"/>
        <v>0</v>
      </c>
      <c r="L39" s="1542">
        <f t="shared" ca="1" si="15"/>
        <v>0</v>
      </c>
      <c r="M39" s="1542">
        <f t="shared" ca="1" si="15"/>
        <v>0</v>
      </c>
      <c r="N39" s="1542">
        <f t="shared" ca="1" si="15"/>
        <v>0</v>
      </c>
    </row>
    <row r="40" spans="6:39" ht="15" customHeight="1" x14ac:dyDescent="0.3">
      <c r="F40" s="510" t="s">
        <v>875</v>
      </c>
    </row>
    <row r="42" spans="6:39" ht="15" customHeight="1" x14ac:dyDescent="0.3">
      <c r="F42" s="617" t="s">
        <v>804</v>
      </c>
      <c r="G42" s="618"/>
      <c r="H42" s="1214" t="s">
        <v>748</v>
      </c>
      <c r="I42" s="617">
        <v>0</v>
      </c>
      <c r="J42" s="618">
        <v>1</v>
      </c>
      <c r="K42" s="618">
        <v>2</v>
      </c>
      <c r="L42" s="618">
        <v>3</v>
      </c>
      <c r="M42" s="618">
        <v>4</v>
      </c>
      <c r="N42" s="618">
        <v>5</v>
      </c>
      <c r="O42" s="618">
        <v>6</v>
      </c>
      <c r="P42" s="618">
        <v>7</v>
      </c>
      <c r="Q42" s="618">
        <v>8</v>
      </c>
      <c r="R42" s="618">
        <v>9</v>
      </c>
      <c r="S42" s="618">
        <v>10</v>
      </c>
      <c r="T42" s="618">
        <v>11</v>
      </c>
      <c r="U42" s="618">
        <v>12</v>
      </c>
      <c r="V42" s="618">
        <v>13</v>
      </c>
      <c r="W42" s="618">
        <v>14</v>
      </c>
      <c r="X42" s="618">
        <v>15</v>
      </c>
      <c r="Y42" s="618">
        <v>16</v>
      </c>
      <c r="Z42" s="618">
        <v>17</v>
      </c>
      <c r="AA42" s="618">
        <v>18</v>
      </c>
      <c r="AB42" s="618">
        <v>19</v>
      </c>
      <c r="AC42" s="618">
        <v>20</v>
      </c>
      <c r="AD42" s="618">
        <v>21</v>
      </c>
      <c r="AE42" s="618">
        <v>22</v>
      </c>
      <c r="AF42" s="618">
        <v>23</v>
      </c>
      <c r="AG42" s="618">
        <v>24</v>
      </c>
      <c r="AH42" s="618">
        <v>25</v>
      </c>
      <c r="AI42" s="618">
        <v>26</v>
      </c>
      <c r="AJ42" s="618">
        <v>27</v>
      </c>
      <c r="AK42" s="618">
        <v>28</v>
      </c>
      <c r="AL42" s="618">
        <v>29</v>
      </c>
      <c r="AM42" s="619">
        <v>30</v>
      </c>
    </row>
    <row r="43" spans="6:39" ht="15" customHeight="1" x14ac:dyDescent="0.3">
      <c r="F43" s="620" t="s">
        <v>623</v>
      </c>
      <c r="H43" s="1215">
        <f ca="1">NPV($D$12,I43:AM43)*(1+$D$12)</f>
        <v>14.079940151054187</v>
      </c>
      <c r="I43" s="629">
        <v>0</v>
      </c>
      <c r="J43" s="1118">
        <f t="shared" ref="J43:AM43" ca="1" si="16">IF(J$42&gt;horizon,0,$D$21)</f>
        <v>1.5511598629925116</v>
      </c>
      <c r="K43" s="1118">
        <f t="shared" ca="1" si="16"/>
        <v>1.5511598629925116</v>
      </c>
      <c r="L43" s="1118">
        <f t="shared" ca="1" si="16"/>
        <v>1.5511598629925116</v>
      </c>
      <c r="M43" s="1118">
        <f t="shared" ca="1" si="16"/>
        <v>1.5511598629925116</v>
      </c>
      <c r="N43" s="1118">
        <f t="shared" ca="1" si="16"/>
        <v>1.5511598629925116</v>
      </c>
      <c r="O43" s="1118">
        <f t="shared" ca="1" si="16"/>
        <v>1.5511598629925116</v>
      </c>
      <c r="P43" s="1118">
        <f t="shared" ca="1" si="16"/>
        <v>1.5511598629925116</v>
      </c>
      <c r="Q43" s="1118">
        <f t="shared" ca="1" si="16"/>
        <v>1.5511598629925116</v>
      </c>
      <c r="R43" s="1118">
        <f t="shared" ca="1" si="16"/>
        <v>1.5511598629925116</v>
      </c>
      <c r="S43" s="1118">
        <f t="shared" ca="1" si="16"/>
        <v>1.5511598629925116</v>
      </c>
      <c r="T43" s="1118">
        <f t="shared" ca="1" si="16"/>
        <v>1.5511598629925116</v>
      </c>
      <c r="U43" s="1118">
        <f t="shared" ca="1" si="16"/>
        <v>1.5511598629925116</v>
      </c>
      <c r="V43" s="1118">
        <f t="shared" ca="1" si="16"/>
        <v>1.5511598629925116</v>
      </c>
      <c r="W43" s="1118">
        <f t="shared" ca="1" si="16"/>
        <v>1.5511598629925116</v>
      </c>
      <c r="X43" s="1118">
        <f t="shared" ca="1" si="16"/>
        <v>1.5511598629925116</v>
      </c>
      <c r="Y43" s="1118">
        <f t="shared" ca="1" si="16"/>
        <v>1.5511598629925116</v>
      </c>
      <c r="Z43" s="1118">
        <f t="shared" ca="1" si="16"/>
        <v>1.5511598629925116</v>
      </c>
      <c r="AA43" s="1118">
        <f t="shared" ca="1" si="16"/>
        <v>1.5511598629925116</v>
      </c>
      <c r="AB43" s="1118">
        <f t="shared" ca="1" si="16"/>
        <v>1.5511598629925116</v>
      </c>
      <c r="AC43" s="1118">
        <f t="shared" ca="1" si="16"/>
        <v>1.5511598629925116</v>
      </c>
      <c r="AD43" s="1118">
        <f t="shared" ca="1" si="16"/>
        <v>1.5511598629925116</v>
      </c>
      <c r="AE43" s="1118">
        <f t="shared" ca="1" si="16"/>
        <v>1.5511598629925116</v>
      </c>
      <c r="AF43" s="1118">
        <f t="shared" ca="1" si="16"/>
        <v>1.5511598629925116</v>
      </c>
      <c r="AG43" s="1118">
        <f t="shared" ca="1" si="16"/>
        <v>1.5511598629925116</v>
      </c>
      <c r="AH43" s="1118">
        <f t="shared" ca="1" si="16"/>
        <v>1.5511598629925116</v>
      </c>
      <c r="AI43" s="1118">
        <f t="shared" ca="1" si="16"/>
        <v>0</v>
      </c>
      <c r="AJ43" s="1118">
        <f t="shared" ca="1" si="16"/>
        <v>0</v>
      </c>
      <c r="AK43" s="1118">
        <f t="shared" ca="1" si="16"/>
        <v>0</v>
      </c>
      <c r="AL43" s="1118">
        <f t="shared" ca="1" si="16"/>
        <v>0</v>
      </c>
      <c r="AM43" s="626">
        <f t="shared" ca="1" si="16"/>
        <v>0</v>
      </c>
    </row>
    <row r="44" spans="6:39" ht="15" customHeight="1" x14ac:dyDescent="0.3">
      <c r="F44" s="620" t="s">
        <v>654</v>
      </c>
      <c r="H44" s="1215">
        <f ca="1">NPV($D$12,I44:AM44)*(1+$D$12)</f>
        <v>-11.668228735156713</v>
      </c>
      <c r="I44" s="629">
        <f ca="1">-H18-H33</f>
        <v>-11.668228735156713</v>
      </c>
      <c r="J44" s="1118"/>
      <c r="K44" s="1118"/>
      <c r="L44" s="1118"/>
      <c r="M44" s="1118"/>
      <c r="N44" s="1118"/>
      <c r="O44" s="1118"/>
      <c r="P44" s="1118"/>
      <c r="Q44" s="1118"/>
      <c r="R44" s="1118"/>
      <c r="S44" s="1118"/>
      <c r="T44" s="1118"/>
      <c r="U44" s="1118"/>
      <c r="V44" s="1118"/>
      <c r="W44" s="1118"/>
      <c r="X44" s="1118"/>
      <c r="Y44" s="1118"/>
      <c r="Z44" s="1118"/>
      <c r="AA44" s="1118"/>
      <c r="AB44" s="1118"/>
      <c r="AC44" s="1118"/>
      <c r="AD44" s="1118"/>
      <c r="AE44" s="1118"/>
      <c r="AF44" s="1118"/>
      <c r="AG44" s="1118"/>
      <c r="AH44" s="1118"/>
      <c r="AI44" s="1118"/>
      <c r="AJ44" s="1118"/>
      <c r="AK44" s="1118"/>
      <c r="AL44" s="1118"/>
      <c r="AM44" s="626"/>
    </row>
    <row r="45" spans="6:39" ht="15" customHeight="1" x14ac:dyDescent="0.3">
      <c r="F45" s="620" t="s">
        <v>814</v>
      </c>
      <c r="H45" s="1215">
        <f ca="1">NPV($D$12,I45:AM45)*(1+$D$12)</f>
        <v>-2.4117114158974799</v>
      </c>
      <c r="I45" s="629">
        <v>0</v>
      </c>
      <c r="J45" s="1118">
        <f t="shared" ref="J45:AM45" ca="1" si="17">IF(J$42&gt;horizon,0,-$I$30-$I$34)</f>
        <v>-0.26569359736809117</v>
      </c>
      <c r="K45" s="1118">
        <f t="shared" ca="1" si="17"/>
        <v>-0.26569359736809117</v>
      </c>
      <c r="L45" s="1118">
        <f t="shared" ca="1" si="17"/>
        <v>-0.26569359736809117</v>
      </c>
      <c r="M45" s="1118">
        <f t="shared" ca="1" si="17"/>
        <v>-0.26569359736809117</v>
      </c>
      <c r="N45" s="1118">
        <f t="shared" ca="1" si="17"/>
        <v>-0.26569359736809117</v>
      </c>
      <c r="O45" s="1118">
        <f t="shared" ca="1" si="17"/>
        <v>-0.26569359736809117</v>
      </c>
      <c r="P45" s="1118">
        <f t="shared" ca="1" si="17"/>
        <v>-0.26569359736809117</v>
      </c>
      <c r="Q45" s="1118">
        <f t="shared" ca="1" si="17"/>
        <v>-0.26569359736809117</v>
      </c>
      <c r="R45" s="1118">
        <f t="shared" ca="1" si="17"/>
        <v>-0.26569359736809117</v>
      </c>
      <c r="S45" s="1118">
        <f t="shared" ca="1" si="17"/>
        <v>-0.26569359736809117</v>
      </c>
      <c r="T45" s="1118">
        <f t="shared" ca="1" si="17"/>
        <v>-0.26569359736809117</v>
      </c>
      <c r="U45" s="1118">
        <f t="shared" ca="1" si="17"/>
        <v>-0.26569359736809117</v>
      </c>
      <c r="V45" s="1118">
        <f t="shared" ca="1" si="17"/>
        <v>-0.26569359736809117</v>
      </c>
      <c r="W45" s="1118">
        <f t="shared" ca="1" si="17"/>
        <v>-0.26569359736809117</v>
      </c>
      <c r="X45" s="1118">
        <f t="shared" ca="1" si="17"/>
        <v>-0.26569359736809117</v>
      </c>
      <c r="Y45" s="1118">
        <f t="shared" ca="1" si="17"/>
        <v>-0.26569359736809117</v>
      </c>
      <c r="Z45" s="1118">
        <f t="shared" ca="1" si="17"/>
        <v>-0.26569359736809117</v>
      </c>
      <c r="AA45" s="1118">
        <f t="shared" ca="1" si="17"/>
        <v>-0.26569359736809117</v>
      </c>
      <c r="AB45" s="1118">
        <f t="shared" ca="1" si="17"/>
        <v>-0.26569359736809117</v>
      </c>
      <c r="AC45" s="1118">
        <f t="shared" ca="1" si="17"/>
        <v>-0.26569359736809117</v>
      </c>
      <c r="AD45" s="1118">
        <f t="shared" ca="1" si="17"/>
        <v>-0.26569359736809117</v>
      </c>
      <c r="AE45" s="1118">
        <f t="shared" ca="1" si="17"/>
        <v>-0.26569359736809117</v>
      </c>
      <c r="AF45" s="1118">
        <f t="shared" ca="1" si="17"/>
        <v>-0.26569359736809117</v>
      </c>
      <c r="AG45" s="1118">
        <f t="shared" ca="1" si="17"/>
        <v>-0.26569359736809117</v>
      </c>
      <c r="AH45" s="1118">
        <f t="shared" ca="1" si="17"/>
        <v>-0.26569359736809117</v>
      </c>
      <c r="AI45" s="1118">
        <f t="shared" ca="1" si="17"/>
        <v>0</v>
      </c>
      <c r="AJ45" s="1118">
        <f t="shared" ca="1" si="17"/>
        <v>0</v>
      </c>
      <c r="AK45" s="1118">
        <f t="shared" ca="1" si="17"/>
        <v>0</v>
      </c>
      <c r="AL45" s="1118">
        <f t="shared" ca="1" si="17"/>
        <v>0</v>
      </c>
      <c r="AM45" s="626">
        <f t="shared" ca="1" si="17"/>
        <v>0</v>
      </c>
    </row>
    <row r="46" spans="6:39" ht="15" customHeight="1" x14ac:dyDescent="0.3">
      <c r="F46" s="621" t="s">
        <v>873</v>
      </c>
      <c r="G46" s="582"/>
      <c r="H46" s="1216">
        <f ca="1">NPV($D$12,I46:AM46)*(1+$D$12)</f>
        <v>-7.2025718722557031E-15</v>
      </c>
      <c r="I46" s="630">
        <f ca="1">SUM(I43:I45)</f>
        <v>-11.668228735156713</v>
      </c>
      <c r="J46" s="631">
        <f t="shared" ref="J46:AM46" ca="1" si="18">SUM(J43:J45)</f>
        <v>1.2854662656244205</v>
      </c>
      <c r="K46" s="631">
        <f t="shared" ca="1" si="18"/>
        <v>1.2854662656244205</v>
      </c>
      <c r="L46" s="631">
        <f t="shared" ca="1" si="18"/>
        <v>1.2854662656244205</v>
      </c>
      <c r="M46" s="631">
        <f t="shared" ca="1" si="18"/>
        <v>1.2854662656244205</v>
      </c>
      <c r="N46" s="631">
        <f t="shared" ca="1" si="18"/>
        <v>1.2854662656244205</v>
      </c>
      <c r="O46" s="631">
        <f t="shared" ca="1" si="18"/>
        <v>1.2854662656244205</v>
      </c>
      <c r="P46" s="631">
        <f t="shared" ca="1" si="18"/>
        <v>1.2854662656244205</v>
      </c>
      <c r="Q46" s="631">
        <f t="shared" ca="1" si="18"/>
        <v>1.2854662656244205</v>
      </c>
      <c r="R46" s="631">
        <f t="shared" ca="1" si="18"/>
        <v>1.2854662656244205</v>
      </c>
      <c r="S46" s="631">
        <f t="shared" ca="1" si="18"/>
        <v>1.2854662656244205</v>
      </c>
      <c r="T46" s="631">
        <f t="shared" ca="1" si="18"/>
        <v>1.2854662656244205</v>
      </c>
      <c r="U46" s="631">
        <f t="shared" ca="1" si="18"/>
        <v>1.2854662656244205</v>
      </c>
      <c r="V46" s="631">
        <f t="shared" ca="1" si="18"/>
        <v>1.2854662656244205</v>
      </c>
      <c r="W46" s="631">
        <f t="shared" ca="1" si="18"/>
        <v>1.2854662656244205</v>
      </c>
      <c r="X46" s="631">
        <f t="shared" ca="1" si="18"/>
        <v>1.2854662656244205</v>
      </c>
      <c r="Y46" s="631">
        <f t="shared" ca="1" si="18"/>
        <v>1.2854662656244205</v>
      </c>
      <c r="Z46" s="631">
        <f t="shared" ca="1" si="18"/>
        <v>1.2854662656244205</v>
      </c>
      <c r="AA46" s="631">
        <f t="shared" ca="1" si="18"/>
        <v>1.2854662656244205</v>
      </c>
      <c r="AB46" s="631">
        <f t="shared" ca="1" si="18"/>
        <v>1.2854662656244205</v>
      </c>
      <c r="AC46" s="631">
        <f t="shared" ca="1" si="18"/>
        <v>1.2854662656244205</v>
      </c>
      <c r="AD46" s="631">
        <f t="shared" ca="1" si="18"/>
        <v>1.2854662656244205</v>
      </c>
      <c r="AE46" s="631">
        <f t="shared" ca="1" si="18"/>
        <v>1.2854662656244205</v>
      </c>
      <c r="AF46" s="631">
        <f t="shared" ca="1" si="18"/>
        <v>1.2854662656244205</v>
      </c>
      <c r="AG46" s="631">
        <f t="shared" ca="1" si="18"/>
        <v>1.2854662656244205</v>
      </c>
      <c r="AH46" s="631">
        <f t="shared" ca="1" si="18"/>
        <v>1.2854662656244205</v>
      </c>
      <c r="AI46" s="631">
        <f t="shared" ca="1" si="18"/>
        <v>0</v>
      </c>
      <c r="AJ46" s="631">
        <f t="shared" ca="1" si="18"/>
        <v>0</v>
      </c>
      <c r="AK46" s="631">
        <f t="shared" ca="1" si="18"/>
        <v>0</v>
      </c>
      <c r="AL46" s="631">
        <f t="shared" ca="1" si="18"/>
        <v>0</v>
      </c>
      <c r="AM46" s="632">
        <f t="shared" ca="1" si="18"/>
        <v>0</v>
      </c>
    </row>
    <row r="47" spans="6:39" ht="15" customHeight="1" x14ac:dyDescent="0.3">
      <c r="F47" s="622" t="s">
        <v>874</v>
      </c>
      <c r="G47" s="625">
        <f ca="1">IRR(I46:AM46)</f>
        <v>0.10000000000000009</v>
      </c>
      <c r="H47" s="1217"/>
      <c r="AM47" s="624"/>
    </row>
    <row r="48" spans="6:39" ht="15" customHeight="1" x14ac:dyDescent="0.3">
      <c r="F48" s="622"/>
      <c r="H48" s="1217"/>
      <c r="I48" s="622"/>
      <c r="AM48" s="624"/>
    </row>
    <row r="49" spans="6:39" ht="15" customHeight="1" x14ac:dyDescent="0.3">
      <c r="F49" s="622" t="s">
        <v>791</v>
      </c>
      <c r="H49" s="1215">
        <f ca="1">NPV($D$12,I49:AM49)*(1+$D$12)</f>
        <v>144.01540606724279</v>
      </c>
      <c r="I49" s="622">
        <v>0</v>
      </c>
      <c r="J49" s="1118">
        <f t="shared" ref="J49:AM49" ca="1" si="19">IF(J$42&gt;horizon,0,$D$18)</f>
        <v>15.865899652091185</v>
      </c>
      <c r="K49" s="1118">
        <f t="shared" ca="1" si="19"/>
        <v>15.865899652091185</v>
      </c>
      <c r="L49" s="1118">
        <f t="shared" ca="1" si="19"/>
        <v>15.865899652091185</v>
      </c>
      <c r="M49" s="1118">
        <f t="shared" ca="1" si="19"/>
        <v>15.865899652091185</v>
      </c>
      <c r="N49" s="1118">
        <f t="shared" ca="1" si="19"/>
        <v>15.865899652091185</v>
      </c>
      <c r="O49" s="1118">
        <f t="shared" ca="1" si="19"/>
        <v>15.865899652091185</v>
      </c>
      <c r="P49" s="1118">
        <f t="shared" ca="1" si="19"/>
        <v>15.865899652091185</v>
      </c>
      <c r="Q49" s="1118">
        <f t="shared" ca="1" si="19"/>
        <v>15.865899652091185</v>
      </c>
      <c r="R49" s="1118">
        <f t="shared" ca="1" si="19"/>
        <v>15.865899652091185</v>
      </c>
      <c r="S49" s="1118">
        <f t="shared" ca="1" si="19"/>
        <v>15.865899652091185</v>
      </c>
      <c r="T49" s="1118">
        <f t="shared" ca="1" si="19"/>
        <v>15.865899652091185</v>
      </c>
      <c r="U49" s="1118">
        <f t="shared" ca="1" si="19"/>
        <v>15.865899652091185</v>
      </c>
      <c r="V49" s="1118">
        <f t="shared" ca="1" si="19"/>
        <v>15.865899652091185</v>
      </c>
      <c r="W49" s="1118">
        <f t="shared" ca="1" si="19"/>
        <v>15.865899652091185</v>
      </c>
      <c r="X49" s="1118">
        <f t="shared" ca="1" si="19"/>
        <v>15.865899652091185</v>
      </c>
      <c r="Y49" s="1118">
        <f t="shared" ca="1" si="19"/>
        <v>15.865899652091185</v>
      </c>
      <c r="Z49" s="1118">
        <f t="shared" ca="1" si="19"/>
        <v>15.865899652091185</v>
      </c>
      <c r="AA49" s="1118">
        <f t="shared" ca="1" si="19"/>
        <v>15.865899652091185</v>
      </c>
      <c r="AB49" s="1118">
        <f t="shared" ca="1" si="19"/>
        <v>15.865899652091185</v>
      </c>
      <c r="AC49" s="1118">
        <f t="shared" ca="1" si="19"/>
        <v>15.865899652091185</v>
      </c>
      <c r="AD49" s="1118">
        <f t="shared" ca="1" si="19"/>
        <v>15.865899652091185</v>
      </c>
      <c r="AE49" s="1118">
        <f t="shared" ca="1" si="19"/>
        <v>15.865899652091185</v>
      </c>
      <c r="AF49" s="1118">
        <f t="shared" ca="1" si="19"/>
        <v>15.865899652091185</v>
      </c>
      <c r="AG49" s="1118">
        <f t="shared" ca="1" si="19"/>
        <v>15.865899652091185</v>
      </c>
      <c r="AH49" s="1118">
        <f t="shared" ca="1" si="19"/>
        <v>15.865899652091185</v>
      </c>
      <c r="AI49" s="1118">
        <f t="shared" ca="1" si="19"/>
        <v>0</v>
      </c>
      <c r="AJ49" s="1118">
        <f t="shared" ca="1" si="19"/>
        <v>0</v>
      </c>
      <c r="AK49" s="1118">
        <f t="shared" ca="1" si="19"/>
        <v>0</v>
      </c>
      <c r="AL49" s="1118">
        <f t="shared" ca="1" si="19"/>
        <v>0</v>
      </c>
      <c r="AM49" s="626">
        <f t="shared" ca="1" si="19"/>
        <v>0</v>
      </c>
    </row>
    <row r="50" spans="6:39" ht="15" customHeight="1" x14ac:dyDescent="0.3">
      <c r="F50" s="623" t="s">
        <v>877</v>
      </c>
      <c r="G50" s="579"/>
      <c r="H50" s="1218">
        <f ca="1">H43/H49*1000</f>
        <v>97.766902413760278</v>
      </c>
      <c r="I50" s="627">
        <f ca="1">ROUND(H50-J35,2)</f>
        <v>0</v>
      </c>
      <c r="J50" s="579"/>
      <c r="K50" s="579"/>
      <c r="L50" s="579"/>
      <c r="M50" s="579"/>
      <c r="N50" s="579"/>
      <c r="O50" s="579"/>
      <c r="P50" s="579"/>
      <c r="Q50" s="579"/>
      <c r="R50" s="579"/>
      <c r="S50" s="579"/>
      <c r="T50" s="579"/>
      <c r="U50" s="579"/>
      <c r="V50" s="579"/>
      <c r="W50" s="579"/>
      <c r="X50" s="579"/>
      <c r="Y50" s="579"/>
      <c r="Z50" s="579"/>
      <c r="AA50" s="579"/>
      <c r="AB50" s="579"/>
      <c r="AC50" s="579"/>
      <c r="AD50" s="579"/>
      <c r="AE50" s="579"/>
      <c r="AF50" s="579"/>
      <c r="AG50" s="579"/>
      <c r="AH50" s="579"/>
      <c r="AI50" s="579"/>
      <c r="AJ50" s="579"/>
      <c r="AK50" s="579"/>
      <c r="AL50" s="579"/>
      <c r="AM50" s="628"/>
    </row>
    <row r="52" spans="6:39" ht="15" customHeight="1" x14ac:dyDescent="0.3">
      <c r="F52" s="510" t="s">
        <v>876</v>
      </c>
    </row>
    <row r="53" spans="6:39" ht="15" customHeight="1" x14ac:dyDescent="0.3">
      <c r="J53" s="1612">
        <f>Inputs!C40</f>
        <v>80</v>
      </c>
      <c r="K53" s="511" t="s">
        <v>825</v>
      </c>
    </row>
    <row r="57" spans="6:39" ht="15" customHeight="1" x14ac:dyDescent="0.3">
      <c r="I57" s="584" t="s">
        <v>823</v>
      </c>
      <c r="J57" s="584"/>
      <c r="K57" s="584"/>
      <c r="L57" s="585" t="s">
        <v>834</v>
      </c>
      <c r="M57" s="586"/>
      <c r="N57" s="586"/>
    </row>
    <row r="58" spans="6:39" ht="15" customHeight="1" x14ac:dyDescent="0.3">
      <c r="G58" s="579"/>
      <c r="H58" s="579"/>
      <c r="I58" s="576" t="s">
        <v>824</v>
      </c>
      <c r="J58" s="576" t="s">
        <v>829</v>
      </c>
      <c r="K58" s="576" t="s">
        <v>830</v>
      </c>
      <c r="L58" s="577" t="s">
        <v>439</v>
      </c>
      <c r="M58" s="578" t="s">
        <v>745</v>
      </c>
      <c r="N58" s="576" t="s">
        <v>831</v>
      </c>
    </row>
    <row r="59" spans="6:39" ht="15" customHeight="1" x14ac:dyDescent="0.3">
      <c r="G59" s="511" t="s">
        <v>827</v>
      </c>
      <c r="I59" s="574">
        <v>15</v>
      </c>
      <c r="J59" s="581">
        <f ca="1">I59*$D$18/1000</f>
        <v>0.2379884947813678</v>
      </c>
      <c r="K59" s="587">
        <f ca="1">J59*$D$13/1000</f>
        <v>5.9497123695341951E-3</v>
      </c>
      <c r="L59" s="588">
        <f>I59*$J$53/1000</f>
        <v>1.2</v>
      </c>
      <c r="M59" s="580">
        <f ca="1">L59*$D$18/1000</f>
        <v>1.9039079582509423E-2</v>
      </c>
      <c r="N59" s="580">
        <f ca="1">M59*$D$13</f>
        <v>0.4759769895627356</v>
      </c>
    </row>
    <row r="60" spans="6:39" ht="15" customHeight="1" x14ac:dyDescent="0.3">
      <c r="G60" s="511" t="s">
        <v>821</v>
      </c>
      <c r="I60" s="574">
        <v>300</v>
      </c>
      <c r="J60" s="581">
        <f ca="1">I60*$D$18/1000</f>
        <v>4.7597698956273549</v>
      </c>
      <c r="K60" s="580">
        <f ca="1">J60*$D$13/1000</f>
        <v>0.11899424739068387</v>
      </c>
      <c r="L60" s="588">
        <f>I60*$J$53/1000</f>
        <v>24</v>
      </c>
      <c r="M60" s="580">
        <f ca="1">L60*$D$18/1000</f>
        <v>0.38078159165018843</v>
      </c>
      <c r="N60" s="581">
        <f ca="1">M60*$D$13</f>
        <v>9.5195397912547115</v>
      </c>
    </row>
    <row r="61" spans="6:39" ht="15" customHeight="1" x14ac:dyDescent="0.3">
      <c r="G61" s="511" t="s">
        <v>822</v>
      </c>
      <c r="I61" s="574">
        <f>I59-I60</f>
        <v>-285</v>
      </c>
      <c r="J61" s="581">
        <f ca="1">I61*$D$18/1000</f>
        <v>-4.5217814008459882</v>
      </c>
      <c r="K61" s="580">
        <f ca="1">J61*$D$13/1000</f>
        <v>-0.11304453502114969</v>
      </c>
      <c r="L61" s="588">
        <f>I61*$J$53/1000</f>
        <v>-22.8</v>
      </c>
      <c r="M61" s="580">
        <f ca="1">L61*$D$18/1000</f>
        <v>-0.36174251206767905</v>
      </c>
      <c r="N61" s="581">
        <f ca="1">M61*$D$13</f>
        <v>-9.0435628016919765</v>
      </c>
    </row>
    <row r="62" spans="6:39" ht="15" customHeight="1" x14ac:dyDescent="0.3">
      <c r="G62" s="575"/>
      <c r="H62" s="575"/>
      <c r="I62" s="575"/>
      <c r="J62" s="575"/>
      <c r="K62" s="575"/>
      <c r="L62" s="575"/>
      <c r="M62" s="575"/>
      <c r="N62" s="589" t="s">
        <v>828</v>
      </c>
    </row>
    <row r="67" spans="1:20" ht="15" customHeight="1" x14ac:dyDescent="0.3">
      <c r="A67" s="1219" t="str">
        <f t="shared" ref="A67:O74" si="20">A8</f>
        <v>System specification</v>
      </c>
      <c r="B67" s="1220"/>
      <c r="C67" s="1220"/>
      <c r="D67" s="1221"/>
      <c r="E67" s="1222"/>
      <c r="F67" s="1219" t="str">
        <f t="shared" si="20"/>
        <v>Capex</v>
      </c>
      <c r="G67" s="1223"/>
      <c r="H67" s="1224" t="str">
        <f t="shared" si="20"/>
        <v>M€</v>
      </c>
      <c r="I67" s="1224" t="str">
        <f t="shared" si="20"/>
        <v>M€/yr*</v>
      </c>
      <c r="J67" s="1224" t="str">
        <f t="shared" si="20"/>
        <v>€/MWh</v>
      </c>
      <c r="K67" s="1224" t="str">
        <f t="shared" si="20"/>
        <v>€/W</v>
      </c>
      <c r="L67" s="1224" t="str">
        <f t="shared" si="20"/>
        <v>€/W.yr</v>
      </c>
      <c r="M67" s="1224" t="str">
        <f t="shared" si="20"/>
        <v>% LCOE</v>
      </c>
      <c r="N67" s="1224" t="str">
        <f t="shared" si="20"/>
        <v>% Capex</v>
      </c>
      <c r="O67" s="1225" t="str">
        <f t="shared" si="20"/>
        <v>% AWES</v>
      </c>
      <c r="P67" s="1222"/>
      <c r="Q67" s="1222"/>
      <c r="R67" s="1222"/>
      <c r="S67" s="1222"/>
      <c r="T67" s="1222"/>
    </row>
    <row r="68" spans="1:20" ht="15" customHeight="1" x14ac:dyDescent="0.3">
      <c r="A68" s="1226" t="str">
        <f t="shared" si="20"/>
        <v>Rated power</v>
      </c>
      <c r="B68" s="1222"/>
      <c r="C68" s="1222" t="str">
        <f t="shared" si="20"/>
        <v>MW/unit</v>
      </c>
      <c r="D68" s="1310">
        <f t="shared" ca="1" si="20"/>
        <v>0.15</v>
      </c>
      <c r="E68" s="1222"/>
      <c r="F68" s="1227" t="str">
        <f t="shared" si="20"/>
        <v>RPA</v>
      </c>
      <c r="G68" s="1228"/>
      <c r="H68" s="1230">
        <f t="shared" ca="1" si="20"/>
        <v>2.4592512882426636</v>
      </c>
      <c r="I68" s="1230">
        <f t="shared" ca="1" si="20"/>
        <v>0.27093097345651956</v>
      </c>
      <c r="J68" s="1229">
        <f t="shared" ca="1" si="20"/>
        <v>17.076307010476384</v>
      </c>
      <c r="K68" s="1230">
        <f t="shared" ca="1" si="20"/>
        <v>0.54650028627614744</v>
      </c>
      <c r="L68" s="1231">
        <f t="shared" ca="1" si="20"/>
        <v>6.0206882990337683E-2</v>
      </c>
      <c r="M68" s="1232">
        <f t="shared" ca="1" si="20"/>
        <v>0.17466347597070817</v>
      </c>
      <c r="N68" s="1232">
        <f t="shared" ca="1" si="20"/>
        <v>0.22543404360247005</v>
      </c>
      <c r="O68" s="1233">
        <f t="shared" ca="1" si="20"/>
        <v>0.32389795980420394</v>
      </c>
      <c r="P68" s="1222"/>
      <c r="Q68" s="1234" t="str">
        <f t="shared" ref="Q68:Q74" si="21">Q9</f>
        <v>Remotely piloted aircraft</v>
      </c>
      <c r="R68" s="1234"/>
      <c r="S68" s="1234"/>
      <c r="T68" s="1234"/>
    </row>
    <row r="69" spans="1:20" ht="15" customHeight="1" x14ac:dyDescent="0.3">
      <c r="A69" s="1226" t="str">
        <f t="shared" si="20"/>
        <v>Park size</v>
      </c>
      <c r="B69" s="1222"/>
      <c r="C69" s="1222" t="str">
        <f t="shared" si="20"/>
        <v>units</v>
      </c>
      <c r="D69" s="1235">
        <f t="shared" ca="1" si="20"/>
        <v>30</v>
      </c>
      <c r="E69" s="1222"/>
      <c r="F69" s="1226" t="str">
        <f t="shared" si="20"/>
        <v>Tether</v>
      </c>
      <c r="G69" s="1222"/>
      <c r="H69" s="1237">
        <f t="shared" ca="1" si="20"/>
        <v>6.7532274301514705E-2</v>
      </c>
      <c r="I69" s="1237">
        <f t="shared" ca="1" si="20"/>
        <v>7.4399004704055619E-3</v>
      </c>
      <c r="J69" s="1236">
        <f t="shared" ca="1" si="20"/>
        <v>0.46892395852415181</v>
      </c>
      <c r="K69" s="1237">
        <f t="shared" ca="1" si="20"/>
        <v>1.5007172067003268E-2</v>
      </c>
      <c r="L69" s="1238">
        <f t="shared" ca="1" si="20"/>
        <v>1.6533112156456803E-3</v>
      </c>
      <c r="M69" s="1239">
        <f t="shared" ca="1" si="20"/>
        <v>4.7963466873442934E-3</v>
      </c>
      <c r="N69" s="1239">
        <f t="shared" ca="1" si="20"/>
        <v>6.1905319485836205E-3</v>
      </c>
      <c r="O69" s="1240">
        <f t="shared" ca="1" si="20"/>
        <v>8.8944004916345649E-3</v>
      </c>
      <c r="P69" s="1222"/>
      <c r="Q69" s="1234" t="str">
        <f t="shared" si="21"/>
        <v>Tether</v>
      </c>
      <c r="R69" s="1234"/>
      <c r="S69" s="1234"/>
      <c r="T69" s="1234"/>
    </row>
    <row r="70" spans="1:20" ht="15" customHeight="1" x14ac:dyDescent="0.3">
      <c r="A70" s="1226" t="str">
        <f t="shared" si="20"/>
        <v>Park power</v>
      </c>
      <c r="B70" s="1241"/>
      <c r="C70" s="1222" t="str">
        <f t="shared" si="20"/>
        <v>MW</v>
      </c>
      <c r="D70" s="1310">
        <f t="shared" ca="1" si="20"/>
        <v>4.5</v>
      </c>
      <c r="E70" s="1222"/>
      <c r="F70" s="1226" t="str">
        <f t="shared" si="20"/>
        <v>PGA</v>
      </c>
      <c r="G70" s="1222"/>
      <c r="H70" s="1237">
        <f t="shared" ca="1" si="20"/>
        <v>2.9854113491784893</v>
      </c>
      <c r="I70" s="1237">
        <f t="shared" ca="1" si="20"/>
        <v>0.32889701303320334</v>
      </c>
      <c r="J70" s="1236">
        <f t="shared" ca="1" si="20"/>
        <v>20.729805447234973</v>
      </c>
      <c r="K70" s="1237">
        <f t="shared" ca="1" si="20"/>
        <v>0.66342474426188647</v>
      </c>
      <c r="L70" s="1238">
        <f t="shared" ca="1" si="20"/>
        <v>7.3088225118489628E-2</v>
      </c>
      <c r="M70" s="1239">
        <f t="shared" ca="1" si="20"/>
        <v>0.21203295732439353</v>
      </c>
      <c r="N70" s="1239">
        <f t="shared" ca="1" si="20"/>
        <v>0.27366595495124685</v>
      </c>
      <c r="O70" s="1240">
        <f t="shared" ca="1" si="20"/>
        <v>0.3931963560609566</v>
      </c>
      <c r="P70" s="1222"/>
      <c r="Q70" s="1234" t="str">
        <f t="shared" si="21"/>
        <v>Power generation apparatus</v>
      </c>
      <c r="R70" s="1234"/>
      <c r="S70" s="1234"/>
      <c r="T70" s="1234"/>
    </row>
    <row r="71" spans="1:20" ht="15" customHeight="1" x14ac:dyDescent="0.3">
      <c r="A71" s="1226" t="str">
        <f t="shared" si="20"/>
        <v>Project WACC</v>
      </c>
      <c r="B71" s="1222"/>
      <c r="C71" s="1222" t="str">
        <f t="shared" si="20"/>
        <v>%</v>
      </c>
      <c r="D71" s="1243">
        <f t="shared" ca="1" si="20"/>
        <v>0.1</v>
      </c>
      <c r="E71" s="1222"/>
      <c r="F71" s="1244" t="str">
        <f t="shared" si="20"/>
        <v>LLA</v>
      </c>
      <c r="G71" s="1245"/>
      <c r="H71" s="1247">
        <f t="shared" ca="1" si="20"/>
        <v>2.0804780700067611</v>
      </c>
      <c r="I71" s="1247">
        <f t="shared" ca="1" si="20"/>
        <v>0.22920225820626011</v>
      </c>
      <c r="J71" s="1246">
        <f t="shared" ca="1" si="20"/>
        <v>14.446218823528888</v>
      </c>
      <c r="K71" s="1247">
        <f t="shared" ca="1" si="20"/>
        <v>0.46232846000150246</v>
      </c>
      <c r="L71" s="1248">
        <f t="shared" ca="1" si="20"/>
        <v>5.0933835156946689E-2</v>
      </c>
      <c r="M71" s="1249">
        <f t="shared" ca="1" si="20"/>
        <v>0.14776185464474373</v>
      </c>
      <c r="N71" s="1249">
        <f t="shared" ca="1" si="20"/>
        <v>0.19071275318230427</v>
      </c>
      <c r="O71" s="1250">
        <f t="shared" ca="1" si="20"/>
        <v>0.27401128364320493</v>
      </c>
      <c r="P71" s="1222"/>
      <c r="Q71" s="1234" t="str">
        <f t="shared" si="21"/>
        <v>Launch and land apparatus</v>
      </c>
      <c r="R71" s="1234"/>
      <c r="S71" s="1234"/>
      <c r="T71" s="1234"/>
    </row>
    <row r="72" spans="1:20" ht="15" customHeight="1" x14ac:dyDescent="0.3">
      <c r="A72" s="1226" t="str">
        <f t="shared" si="20"/>
        <v>Park life</v>
      </c>
      <c r="B72" s="1222"/>
      <c r="C72" s="1222" t="str">
        <f t="shared" si="20"/>
        <v>yrs</v>
      </c>
      <c r="D72" s="1235">
        <f t="shared" ca="1" si="20"/>
        <v>25</v>
      </c>
      <c r="E72" s="1222"/>
      <c r="F72" s="1251" t="str">
        <f t="shared" si="20"/>
        <v>AWES</v>
      </c>
      <c r="G72" s="1252"/>
      <c r="H72" s="1312">
        <f t="shared" ca="1" si="20"/>
        <v>7.5926729817294287</v>
      </c>
      <c r="I72" s="1253">
        <f t="shared" ca="1" si="20"/>
        <v>0.83647014516638862</v>
      </c>
      <c r="J72" s="1254">
        <f t="shared" ca="1" si="20"/>
        <v>52.721255239764403</v>
      </c>
      <c r="K72" s="1253">
        <f t="shared" ca="1" si="20"/>
        <v>1.6872606626065396</v>
      </c>
      <c r="L72" s="1255">
        <f t="shared" ca="1" si="20"/>
        <v>0.18588225448141971</v>
      </c>
      <c r="M72" s="1256">
        <f t="shared" ca="1" si="20"/>
        <v>0.53925463462718981</v>
      </c>
      <c r="N72" s="1256">
        <f t="shared" ca="1" si="20"/>
        <v>0.69600328368460485</v>
      </c>
      <c r="O72" s="1257">
        <f t="shared" ca="1" si="20"/>
        <v>1</v>
      </c>
      <c r="P72" s="1222"/>
      <c r="Q72" s="1258" t="str">
        <f t="shared" si="21"/>
        <v>Airborne Wind Energy System</v>
      </c>
      <c r="R72" s="1258"/>
      <c r="S72" s="1258"/>
      <c r="T72" s="1258"/>
    </row>
    <row r="73" spans="1:20" ht="15" customHeight="1" x14ac:dyDescent="0.3">
      <c r="A73" s="1244" t="str">
        <f t="shared" si="20"/>
        <v>Capital charge*</v>
      </c>
      <c r="B73" s="1245"/>
      <c r="C73" s="1245" t="str">
        <f t="shared" si="20"/>
        <v>%/yr</v>
      </c>
      <c r="D73" s="1259">
        <f t="shared" ca="1" si="20"/>
        <v>0.11016807219002085</v>
      </c>
      <c r="E73" s="1222"/>
      <c r="F73" s="1226" t="str">
        <f t="shared" si="20"/>
        <v>Grid</v>
      </c>
      <c r="G73" s="1222"/>
      <c r="H73" s="1237">
        <f t="shared" ca="1" si="20"/>
        <v>0.19963725451724446</v>
      </c>
      <c r="I73" s="1237">
        <f t="shared" ca="1" si="20"/>
        <v>2.1993651467473355E-2</v>
      </c>
      <c r="J73" s="1236">
        <f t="shared" ca="1" si="20"/>
        <v>1.3862215159399742</v>
      </c>
      <c r="K73" s="1237">
        <f t="shared" ca="1" si="20"/>
        <v>4.4363834337165432E-2</v>
      </c>
      <c r="L73" s="1238">
        <f t="shared" ca="1" si="20"/>
        <v>4.887478103882968E-3</v>
      </c>
      <c r="M73" s="1239">
        <f t="shared" ca="1" si="20"/>
        <v>1.4178842550143737E-2</v>
      </c>
      <c r="N73" s="1239">
        <f t="shared" ca="1" si="20"/>
        <v>1.8300298857087387E-2</v>
      </c>
      <c r="O73" s="1240">
        <f t="shared" ca="1" si="20"/>
        <v>2.6293408789979506E-2</v>
      </c>
      <c r="P73" s="1222"/>
      <c r="Q73" s="1234" t="str">
        <f t="shared" si="21"/>
        <v>Grid connection &amp; transmission</v>
      </c>
      <c r="R73" s="1234"/>
      <c r="S73" s="1234"/>
      <c r="T73" s="1234"/>
    </row>
    <row r="74" spans="1:20" ht="15" customHeight="1" x14ac:dyDescent="0.3">
      <c r="A74" s="1222"/>
      <c r="B74" s="1222"/>
      <c r="C74" s="1222"/>
      <c r="D74" s="1222"/>
      <c r="E74" s="1222"/>
      <c r="F74" s="1226" t="str">
        <f t="shared" si="20"/>
        <v>Site</v>
      </c>
      <c r="G74" s="1222"/>
      <c r="H74" s="1237">
        <f t="shared" ca="1" si="20"/>
        <v>2.167440790320438</v>
      </c>
      <c r="I74" s="1237">
        <f t="shared" ca="1" si="20"/>
        <v>0.23878277345561785</v>
      </c>
      <c r="J74" s="1236">
        <f t="shared" ca="1" si="20"/>
        <v>15.050062000369792</v>
      </c>
      <c r="K74" s="1237">
        <f t="shared" ca="1" si="20"/>
        <v>0.48165350896009734</v>
      </c>
      <c r="L74" s="1238">
        <f t="shared" ca="1" si="20"/>
        <v>5.3062838545692853E-2</v>
      </c>
      <c r="M74" s="1239">
        <f t="shared" ca="1" si="20"/>
        <v>0.15393821046591288</v>
      </c>
      <c r="N74" s="1239">
        <f t="shared" ca="1" si="20"/>
        <v>0.19868443048779499</v>
      </c>
      <c r="O74" s="1240">
        <f t="shared" ca="1" si="20"/>
        <v>0.28546478895325045</v>
      </c>
      <c r="P74" s="1222"/>
      <c r="Q74" s="1234" t="str">
        <f t="shared" si="21"/>
        <v>Foundations and site preparation</v>
      </c>
      <c r="R74" s="1234"/>
      <c r="S74" s="1234"/>
      <c r="T74" s="1234"/>
    </row>
    <row r="75" spans="1:20" ht="15" customHeight="1" x14ac:dyDescent="0.3">
      <c r="A75" s="1219" t="str">
        <f t="shared" ref="A75:Q89" si="22">A16</f>
        <v>Performance</v>
      </c>
      <c r="B75" s="1220"/>
      <c r="C75" s="1220"/>
      <c r="D75" s="1221"/>
      <c r="E75" s="1222"/>
      <c r="F75" s="1226" t="str">
        <f t="shared" si="22"/>
        <v>Installation</v>
      </c>
      <c r="G75" s="1222"/>
      <c r="H75" s="1237">
        <f t="shared" ca="1" si="22"/>
        <v>0.94921041041665855</v>
      </c>
      <c r="I75" s="1237">
        <f t="shared" ca="1" si="22"/>
        <v>0.10457268101830176</v>
      </c>
      <c r="J75" s="1236">
        <f t="shared" ca="1" si="22"/>
        <v>6.5910338090735801</v>
      </c>
      <c r="K75" s="1237">
        <f t="shared" ca="1" si="22"/>
        <v>0.21093564675925747</v>
      </c>
      <c r="L75" s="1238">
        <f t="shared" ca="1" si="22"/>
        <v>2.3238373559622615E-2</v>
      </c>
      <c r="M75" s="1239">
        <f t="shared" ca="1" si="22"/>
        <v>6.7415798663433182E-2</v>
      </c>
      <c r="N75" s="1239">
        <f t="shared" ca="1" si="22"/>
        <v>8.7011986970512822E-2</v>
      </c>
      <c r="O75" s="1240">
        <f t="shared" ca="1" si="22"/>
        <v>0.12501663283810377</v>
      </c>
      <c r="P75" s="1222"/>
      <c r="Q75" s="1234" t="str">
        <f t="shared" si="22"/>
        <v>Transport, installation &amp; commissioning</v>
      </c>
      <c r="R75" s="1234"/>
      <c r="S75" s="1234"/>
      <c r="T75" s="1234"/>
    </row>
    <row r="76" spans="1:20" ht="15" customHeight="1" x14ac:dyDescent="0.3">
      <c r="A76" s="1226" t="str">
        <f t="shared" si="22"/>
        <v>Average wind speed</v>
      </c>
      <c r="B76" s="1222"/>
      <c r="C76" s="1222" t="str">
        <f t="shared" si="22"/>
        <v>m/s</v>
      </c>
      <c r="D76" s="1242">
        <f t="shared" ca="1" si="22"/>
        <v>10.563903252812876</v>
      </c>
      <c r="E76" s="1222"/>
      <c r="F76" s="1260" t="str">
        <f t="shared" si="22"/>
        <v>BOP</v>
      </c>
      <c r="G76" s="1261"/>
      <c r="H76" s="1263">
        <f t="shared" ca="1" si="22"/>
        <v>3.316288455254341</v>
      </c>
      <c r="I76" s="1263">
        <f t="shared" ca="1" si="22"/>
        <v>0.36534910594139297</v>
      </c>
      <c r="J76" s="1262">
        <f t="shared" ca="1" si="22"/>
        <v>23.027317325383343</v>
      </c>
      <c r="K76" s="1263">
        <f t="shared" ca="1" si="22"/>
        <v>0.73695299005652026</v>
      </c>
      <c r="L76" s="1264">
        <f t="shared" ca="1" si="22"/>
        <v>8.1188690209198444E-2</v>
      </c>
      <c r="M76" s="1265">
        <f t="shared" ca="1" si="22"/>
        <v>0.23553285167948979</v>
      </c>
      <c r="N76" s="1265">
        <f t="shared" ca="1" si="22"/>
        <v>0.30399671631539521</v>
      </c>
      <c r="O76" s="1266">
        <f t="shared" ca="1" si="22"/>
        <v>0.43677483058133371</v>
      </c>
      <c r="P76" s="1222"/>
      <c r="Q76" s="1258" t="str">
        <f t="shared" si="22"/>
        <v>Balance of Plant</v>
      </c>
      <c r="R76" s="1258"/>
      <c r="S76" s="1258"/>
      <c r="T76" s="1258"/>
    </row>
    <row r="77" spans="1:20" ht="15" customHeight="1" x14ac:dyDescent="0.3">
      <c r="A77" s="1226" t="str">
        <f t="shared" si="22"/>
        <v>AEP</v>
      </c>
      <c r="B77" s="1222"/>
      <c r="C77" s="1222" t="str">
        <f t="shared" si="22"/>
        <v>GWh/yr</v>
      </c>
      <c r="D77" s="1242">
        <f t="shared" ca="1" si="22"/>
        <v>15.865899652091185</v>
      </c>
      <c r="E77" s="1222"/>
      <c r="F77" s="1267" t="str">
        <f t="shared" si="22"/>
        <v>Capex</v>
      </c>
      <c r="G77" s="1268"/>
      <c r="H77" s="1270">
        <f t="shared" ca="1" si="22"/>
        <v>10.90896143698377</v>
      </c>
      <c r="I77" s="1270">
        <f t="shared" ca="1" si="22"/>
        <v>1.2018192511077816</v>
      </c>
      <c r="J77" s="1269">
        <f t="shared" ca="1" si="22"/>
        <v>75.748572565147754</v>
      </c>
      <c r="K77" s="1270">
        <f t="shared" ca="1" si="22"/>
        <v>2.42421365266306</v>
      </c>
      <c r="L77" s="1271">
        <f t="shared" ca="1" si="22"/>
        <v>0.26707094469061815</v>
      </c>
      <c r="M77" s="1272">
        <f t="shared" ca="1" si="22"/>
        <v>0.7747874863066796</v>
      </c>
      <c r="N77" s="1272">
        <f t="shared" ca="1" si="22"/>
        <v>1</v>
      </c>
      <c r="O77" s="1273">
        <f t="shared" ca="1" si="22"/>
        <v>1.4367748305813337</v>
      </c>
      <c r="P77" s="1222"/>
      <c r="Q77" s="1258" t="str">
        <f t="shared" si="22"/>
        <v>Capital Expenditure</v>
      </c>
      <c r="R77" s="1258"/>
      <c r="S77" s="1258"/>
      <c r="T77" s="1258"/>
    </row>
    <row r="78" spans="1:20" ht="15" customHeight="1" x14ac:dyDescent="0.3">
      <c r="A78" s="1226" t="str">
        <f t="shared" si="22"/>
        <v>Capacity factor</v>
      </c>
      <c r="B78" s="1222"/>
      <c r="C78" s="1222" t="str">
        <f t="shared" si="22"/>
        <v>%</v>
      </c>
      <c r="D78" s="1274">
        <f t="shared" ca="1" si="22"/>
        <v>0.40220801713922949</v>
      </c>
      <c r="E78" s="1222"/>
      <c r="F78" s="1222"/>
      <c r="G78" s="1222"/>
      <c r="H78" s="1237"/>
      <c r="I78" s="1237"/>
      <c r="J78" s="1237"/>
      <c r="K78" s="1237"/>
      <c r="L78" s="1237"/>
      <c r="M78" s="1237"/>
      <c r="N78" s="1237"/>
      <c r="O78" s="1237"/>
      <c r="P78" s="1222"/>
      <c r="Q78" s="1234"/>
      <c r="R78" s="1234"/>
      <c r="S78" s="1234"/>
      <c r="T78" s="1234"/>
    </row>
    <row r="79" spans="1:20" ht="15" customHeight="1" x14ac:dyDescent="0.3">
      <c r="A79" s="1226" t="str">
        <f t="shared" si="22"/>
        <v>Yield</v>
      </c>
      <c r="B79" s="1222"/>
      <c r="C79" s="1222" t="str">
        <f t="shared" si="22"/>
        <v>Wh/W.yr</v>
      </c>
      <c r="D79" s="1275">
        <f t="shared" ca="1" si="22"/>
        <v>3525.7554782424859</v>
      </c>
      <c r="E79" s="1222"/>
      <c r="F79" s="1219" t="str">
        <f t="shared" si="22"/>
        <v>Opex</v>
      </c>
      <c r="G79" s="1223"/>
      <c r="H79" s="1292" t="str">
        <f t="shared" si="22"/>
        <v>M€**</v>
      </c>
      <c r="I79" s="1292" t="str">
        <f t="shared" si="22"/>
        <v>M€/yr</v>
      </c>
      <c r="J79" s="1224" t="str">
        <f t="shared" si="22"/>
        <v>€/MWh</v>
      </c>
      <c r="K79" s="1224" t="str">
        <f t="shared" si="22"/>
        <v>€/W**</v>
      </c>
      <c r="L79" s="1224" t="str">
        <f t="shared" si="22"/>
        <v>€/W.yr</v>
      </c>
      <c r="M79" s="1224" t="str">
        <f t="shared" si="22"/>
        <v>% LCOE</v>
      </c>
      <c r="N79" s="1224" t="str">
        <f t="shared" si="22"/>
        <v>% Opex</v>
      </c>
      <c r="O79" s="1225" t="str">
        <f t="shared" si="22"/>
        <v>% Parts</v>
      </c>
      <c r="P79" s="1222"/>
      <c r="Q79" s="1234"/>
      <c r="R79" s="1234"/>
      <c r="S79" s="1234"/>
      <c r="T79" s="1234"/>
    </row>
    <row r="80" spans="1:20" ht="15" customHeight="1" x14ac:dyDescent="0.3">
      <c r="A80" s="1244" t="str">
        <f t="shared" si="22"/>
        <v>Revenues</v>
      </c>
      <c r="B80" s="1245"/>
      <c r="C80" s="1245" t="str">
        <f t="shared" si="22"/>
        <v>M€/yr</v>
      </c>
      <c r="D80" s="1311">
        <f t="shared" ca="1" si="22"/>
        <v>1.5511598629925116</v>
      </c>
      <c r="E80" s="1222"/>
      <c r="F80" s="1226" t="str">
        <f t="shared" si="22"/>
        <v>RPA</v>
      </c>
      <c r="G80" s="1222"/>
      <c r="H80" s="1237">
        <f t="shared" ca="1" si="22"/>
        <v>1.1620480926634147</v>
      </c>
      <c r="I80" s="1237">
        <f t="shared" ca="1" si="22"/>
        <v>0.12802059816081912</v>
      </c>
      <c r="J80" s="1236">
        <f t="shared" ca="1" si="22"/>
        <v>8.0689151556524248</v>
      </c>
      <c r="K80" s="1237">
        <f t="shared" ca="1" si="22"/>
        <v>0.25823290948075883</v>
      </c>
      <c r="L80" s="1238">
        <f t="shared" ca="1" si="22"/>
        <v>2.8449021813515361E-2</v>
      </c>
      <c r="M80" s="1239">
        <f t="shared" ca="1" si="22"/>
        <v>8.2532175577210085E-2</v>
      </c>
      <c r="N80" s="1239">
        <f t="shared" ca="1" si="22"/>
        <v>0.52290746050545012</v>
      </c>
      <c r="O80" s="1240">
        <f t="shared" ca="1" si="22"/>
        <v>0.61344806705176413</v>
      </c>
      <c r="P80" s="1222"/>
      <c r="Q80" s="1234" t="str">
        <f t="shared" si="22"/>
        <v>Remotely piloted aircraft</v>
      </c>
      <c r="R80" s="1234"/>
      <c r="S80" s="1234"/>
      <c r="T80" s="1234"/>
    </row>
    <row r="81" spans="1:26" ht="15" customHeight="1" x14ac:dyDescent="0.3">
      <c r="A81" s="1222"/>
      <c r="B81" s="1222"/>
      <c r="C81" s="1222"/>
      <c r="D81" s="1222"/>
      <c r="E81" s="1222"/>
      <c r="F81" s="1226" t="str">
        <f t="shared" si="22"/>
        <v>Tether</v>
      </c>
      <c r="G81" s="1222"/>
      <c r="H81" s="1237">
        <f t="shared" ca="1" si="22"/>
        <v>0.28983572753100278</v>
      </c>
      <c r="I81" s="1237">
        <f t="shared" ca="1" si="22"/>
        <v>3.193064335388273E-2</v>
      </c>
      <c r="J81" s="1236">
        <f t="shared" ca="1" si="22"/>
        <v>2.0125327938573059</v>
      </c>
      <c r="K81" s="1237">
        <f t="shared" ca="1" si="22"/>
        <v>6.4407939451333954E-2</v>
      </c>
      <c r="L81" s="1238">
        <f t="shared" ca="1" si="22"/>
        <v>7.0956985230850511E-3</v>
      </c>
      <c r="M81" s="1239">
        <f t="shared" ca="1" si="22"/>
        <v>2.0585011329703855E-2</v>
      </c>
      <c r="N81" s="1239">
        <f t="shared" ca="1" si="22"/>
        <v>0.13042254034393441</v>
      </c>
      <c r="O81" s="1240">
        <f t="shared" ca="1" si="22"/>
        <v>0.15300499862180375</v>
      </c>
      <c r="P81" s="1222"/>
      <c r="Q81" s="1234" t="str">
        <f t="shared" si="22"/>
        <v>Tether</v>
      </c>
      <c r="R81" s="1234"/>
      <c r="S81" s="1234"/>
      <c r="T81" s="1234"/>
    </row>
    <row r="82" spans="1:26" ht="15" customHeight="1" x14ac:dyDescent="0.3">
      <c r="A82" s="1222"/>
      <c r="B82" s="1222"/>
      <c r="C82" s="1222"/>
      <c r="D82" s="1222"/>
      <c r="E82" s="1222"/>
      <c r="F82" s="1226" t="str">
        <f t="shared" si="22"/>
        <v>PGA</v>
      </c>
      <c r="G82" s="1222"/>
      <c r="H82" s="1237">
        <f t="shared" ca="1" si="22"/>
        <v>0.2565114944413045</v>
      </c>
      <c r="I82" s="1237">
        <f t="shared" ca="1" si="22"/>
        <v>2.8259376837179766E-2</v>
      </c>
      <c r="J82" s="1236">
        <f t="shared" ca="1" si="22"/>
        <v>1.781139264514072</v>
      </c>
      <c r="K82" s="1237">
        <f t="shared" ca="1" si="22"/>
        <v>5.7002554320289889E-2</v>
      </c>
      <c r="L82" s="1238">
        <f t="shared" ca="1" si="22"/>
        <v>6.2798615193732817E-3</v>
      </c>
      <c r="M82" s="1239">
        <f t="shared" ca="1" si="22"/>
        <v>1.8218223351048758E-2</v>
      </c>
      <c r="N82" s="1239">
        <f t="shared" ca="1" si="22"/>
        <v>0.11542704212984019</v>
      </c>
      <c r="O82" s="1240">
        <f t="shared" ca="1" si="22"/>
        <v>0.13541305341409449</v>
      </c>
      <c r="P82" s="1222"/>
      <c r="Q82" s="1234" t="str">
        <f t="shared" si="22"/>
        <v>Power generation apparatus</v>
      </c>
      <c r="R82" s="1234"/>
      <c r="S82" s="1234"/>
      <c r="T82" s="1234"/>
    </row>
    <row r="83" spans="1:26" ht="15" customHeight="1" x14ac:dyDescent="0.3">
      <c r="A83" s="1222"/>
      <c r="B83" s="1222"/>
      <c r="C83" s="1222"/>
      <c r="D83" s="1222"/>
      <c r="E83" s="1222"/>
      <c r="F83" s="1244" t="str">
        <f t="shared" si="22"/>
        <v>LLA</v>
      </c>
      <c r="G83" s="1245"/>
      <c r="H83" s="1247">
        <f t="shared" ca="1" si="22"/>
        <v>0.18589395788285695</v>
      </c>
      <c r="I83" s="1247">
        <f t="shared" ca="1" si="22"/>
        <v>2.047957897172728E-2</v>
      </c>
      <c r="J83" s="1246">
        <f t="shared" ca="1" si="22"/>
        <v>1.2907921656385866</v>
      </c>
      <c r="K83" s="1247">
        <f t="shared" ca="1" si="22"/>
        <v>4.1309768418412655E-2</v>
      </c>
      <c r="L83" s="1248">
        <f t="shared" ca="1" si="22"/>
        <v>4.5510175492727289E-3</v>
      </c>
      <c r="M83" s="1249">
        <f t="shared" ca="1" si="22"/>
        <v>1.3202751992446407E-2</v>
      </c>
      <c r="N83" s="1249">
        <f t="shared" ca="1" si="22"/>
        <v>8.3650012468104606E-2</v>
      </c>
      <c r="O83" s="1250">
        <f t="shared" ca="1" si="22"/>
        <v>9.8133880912337657E-2</v>
      </c>
      <c r="P83" s="1222"/>
      <c r="Q83" s="1234" t="str">
        <f t="shared" si="22"/>
        <v>Launch and land apparatus</v>
      </c>
      <c r="R83" s="1234"/>
      <c r="S83" s="1234"/>
      <c r="T83" s="1234"/>
    </row>
    <row r="84" spans="1:26" ht="15" customHeight="1" x14ac:dyDescent="0.3">
      <c r="A84" s="1222"/>
      <c r="B84" s="1222"/>
      <c r="C84" s="1222"/>
      <c r="D84" s="1222"/>
      <c r="E84" s="1222"/>
      <c r="F84" s="1251" t="str">
        <f t="shared" si="22"/>
        <v>Parts</v>
      </c>
      <c r="G84" s="1252"/>
      <c r="H84" s="1312">
        <f t="shared" ca="1" si="22"/>
        <v>1.8942892725185789</v>
      </c>
      <c r="I84" s="1253">
        <f t="shared" ca="1" si="22"/>
        <v>0.20869019732360888</v>
      </c>
      <c r="J84" s="1254">
        <f t="shared" ca="1" si="22"/>
        <v>13.15337937966239</v>
      </c>
      <c r="K84" s="1253">
        <f t="shared" ca="1" si="22"/>
        <v>0.42095317167079532</v>
      </c>
      <c r="L84" s="1255">
        <f t="shared" ca="1" si="22"/>
        <v>4.6375599405246416E-2</v>
      </c>
      <c r="M84" s="1256">
        <f t="shared" ca="1" si="22"/>
        <v>0.1345381622504091</v>
      </c>
      <c r="N84" s="1256">
        <f t="shared" ca="1" si="22"/>
        <v>0.8524070554473292</v>
      </c>
      <c r="O84" s="1257">
        <f t="shared" ca="1" si="22"/>
        <v>1</v>
      </c>
      <c r="P84" s="1222"/>
      <c r="Q84" s="1258" t="str">
        <f t="shared" si="22"/>
        <v>Spare parts remplacements</v>
      </c>
      <c r="R84" s="1258"/>
      <c r="S84" s="1258"/>
      <c r="T84" s="1258"/>
    </row>
    <row r="85" spans="1:26" ht="15" customHeight="1" x14ac:dyDescent="0.3">
      <c r="A85" s="1222"/>
      <c r="B85" s="1222"/>
      <c r="C85" s="1222"/>
      <c r="D85" s="1222"/>
      <c r="E85" s="1222"/>
      <c r="F85" s="1226" t="str">
        <f t="shared" si="22"/>
        <v>Park BOP</v>
      </c>
      <c r="G85" s="1222"/>
      <c r="H85" s="1237">
        <f t="shared" ca="1" si="22"/>
        <v>0.3279932161270448</v>
      </c>
      <c r="I85" s="1237">
        <f t="shared" ca="1" si="22"/>
        <v>3.6134380312121385E-2</v>
      </c>
      <c r="J85" s="1236">
        <f t="shared" ca="1" si="22"/>
        <v>2.2774870070074305</v>
      </c>
      <c r="K85" s="1237">
        <f t="shared" ca="1" si="22"/>
        <v>7.2887381361565515E-2</v>
      </c>
      <c r="L85" s="1238">
        <f t="shared" ca="1" si="22"/>
        <v>8.0298622915825294E-3</v>
      </c>
      <c r="M85" s="1239">
        <f t="shared" ca="1" si="22"/>
        <v>2.3295071755151407E-2</v>
      </c>
      <c r="N85" s="1239">
        <f t="shared" ca="1" si="22"/>
        <v>0.1475929445526708</v>
      </c>
      <c r="O85" s="1240">
        <f t="shared" ca="1" si="22"/>
        <v>0.17314843138553848</v>
      </c>
      <c r="P85" s="1222"/>
      <c r="Q85" s="1234" t="str">
        <f t="shared" si="22"/>
        <v>O&amp;M, asset management, insurance…</v>
      </c>
      <c r="R85" s="1234"/>
      <c r="S85" s="1234"/>
      <c r="T85" s="1234"/>
    </row>
    <row r="86" spans="1:26" ht="15" customHeight="1" outlineLevel="1" x14ac:dyDescent="0.3">
      <c r="A86" s="1222"/>
      <c r="B86" s="1222"/>
      <c r="C86" s="1222"/>
      <c r="D86" s="1222"/>
      <c r="E86" s="1222"/>
      <c r="F86" s="1226" t="str">
        <f t="shared" si="22"/>
        <v>Port rental</v>
      </c>
      <c r="G86" s="1222"/>
      <c r="H86" s="1237">
        <f t="shared" ca="1" si="22"/>
        <v>0</v>
      </c>
      <c r="I86" s="1237">
        <f t="shared" ca="1" si="22"/>
        <v>0</v>
      </c>
      <c r="J86" s="1236">
        <f t="shared" ca="1" si="22"/>
        <v>0</v>
      </c>
      <c r="K86" s="1237">
        <f t="shared" ca="1" si="22"/>
        <v>0</v>
      </c>
      <c r="L86" s="1238">
        <f t="shared" ca="1" si="22"/>
        <v>0</v>
      </c>
      <c r="M86" s="1239">
        <f t="shared" ca="1" si="22"/>
        <v>0</v>
      </c>
      <c r="N86" s="1239">
        <f t="shared" ca="1" si="22"/>
        <v>0</v>
      </c>
      <c r="O86" s="1240">
        <f t="shared" ca="1" si="22"/>
        <v>0</v>
      </c>
      <c r="P86" s="1222"/>
      <c r="Q86" s="1234"/>
      <c r="R86" s="1234"/>
      <c r="S86" s="1234"/>
      <c r="T86" s="1234"/>
    </row>
    <row r="87" spans="1:26" ht="15" customHeight="1" outlineLevel="1" x14ac:dyDescent="0.3">
      <c r="A87" s="1222"/>
      <c r="B87" s="1222"/>
      <c r="C87" s="1222"/>
      <c r="D87" s="1222"/>
      <c r="E87" s="1222"/>
      <c r="F87" s="1226" t="str">
        <f t="shared" si="22"/>
        <v>PSV</v>
      </c>
      <c r="G87" s="1222"/>
      <c r="H87" s="1237">
        <f t="shared" ca="1" si="22"/>
        <v>0</v>
      </c>
      <c r="I87" s="1237">
        <f t="shared" ca="1" si="22"/>
        <v>0</v>
      </c>
      <c r="J87" s="1236">
        <f t="shared" ca="1" si="22"/>
        <v>0</v>
      </c>
      <c r="K87" s="1237">
        <f t="shared" ca="1" si="22"/>
        <v>0</v>
      </c>
      <c r="L87" s="1238">
        <f t="shared" ca="1" si="22"/>
        <v>0</v>
      </c>
      <c r="M87" s="1239">
        <f t="shared" ca="1" si="22"/>
        <v>0</v>
      </c>
      <c r="N87" s="1239">
        <f t="shared" ca="1" si="22"/>
        <v>0</v>
      </c>
      <c r="O87" s="1240">
        <f t="shared" ca="1" si="22"/>
        <v>0</v>
      </c>
      <c r="P87" s="1222"/>
      <c r="Q87" s="1234" t="str">
        <f t="shared" si="22"/>
        <v>Park Service Vehicle</v>
      </c>
      <c r="R87" s="1234"/>
      <c r="S87" s="1234"/>
      <c r="T87" s="1234"/>
    </row>
    <row r="88" spans="1:26" ht="15" customHeight="1" x14ac:dyDescent="0.3">
      <c r="A88" s="1222"/>
      <c r="B88" s="1222"/>
      <c r="C88" s="1222"/>
      <c r="D88" s="1222"/>
      <c r="E88" s="1222"/>
      <c r="F88" s="1251" t="str">
        <f t="shared" si="22"/>
        <v>BOP</v>
      </c>
      <c r="G88" s="1252"/>
      <c r="H88" s="1253">
        <f t="shared" ca="1" si="22"/>
        <v>0.3279932161270448</v>
      </c>
      <c r="I88" s="1253">
        <f t="shared" ca="1" si="22"/>
        <v>3.6134380312121385E-2</v>
      </c>
      <c r="J88" s="1254">
        <f t="shared" ca="1" si="22"/>
        <v>2.2774870070074305</v>
      </c>
      <c r="K88" s="1253">
        <f t="shared" ca="1" si="22"/>
        <v>7.2887381361565515E-2</v>
      </c>
      <c r="L88" s="1255">
        <f t="shared" ca="1" si="22"/>
        <v>8.0298622915825294E-3</v>
      </c>
      <c r="M88" s="1256">
        <f t="shared" ca="1" si="22"/>
        <v>2.3295071755151407E-2</v>
      </c>
      <c r="N88" s="1256">
        <f t="shared" ca="1" si="22"/>
        <v>0.1475929445526708</v>
      </c>
      <c r="O88" s="1257">
        <f t="shared" ca="1" si="22"/>
        <v>0.17314843138553848</v>
      </c>
      <c r="P88" s="1222"/>
      <c r="Q88" s="1258" t="str">
        <f t="shared" si="22"/>
        <v>Balance of plant</v>
      </c>
      <c r="R88" s="1258"/>
      <c r="S88" s="1258"/>
      <c r="T88" s="1258"/>
    </row>
    <row r="89" spans="1:26" ht="15" customHeight="1" x14ac:dyDescent="0.3">
      <c r="A89" s="1222"/>
      <c r="B89" s="1222"/>
      <c r="C89" s="1222"/>
      <c r="D89" s="1222"/>
      <c r="E89" s="1222"/>
      <c r="F89" s="1267" t="str">
        <f t="shared" si="22"/>
        <v>Opex</v>
      </c>
      <c r="G89" s="1268"/>
      <c r="H89" s="1270">
        <f t="shared" ca="1" si="22"/>
        <v>2.2222824886456238</v>
      </c>
      <c r="I89" s="1270">
        <f t="shared" ca="1" si="22"/>
        <v>0.24482457763573026</v>
      </c>
      <c r="J89" s="1269">
        <f t="shared" ca="1" si="22"/>
        <v>15.430866386669821</v>
      </c>
      <c r="K89" s="1270">
        <f t="shared" ca="1" si="22"/>
        <v>0.49384055303236085</v>
      </c>
      <c r="L89" s="1271">
        <f t="shared" ca="1" si="22"/>
        <v>5.4405461696828944E-2</v>
      </c>
      <c r="M89" s="1272">
        <f t="shared" ca="1" si="22"/>
        <v>0.15783323400556051</v>
      </c>
      <c r="N89" s="1272">
        <f t="shared" ca="1" si="22"/>
        <v>1</v>
      </c>
      <c r="O89" s="1273">
        <f t="shared" ca="1" si="22"/>
        <v>1.1731484313855385</v>
      </c>
      <c r="P89" s="1222"/>
      <c r="Q89" s="1258" t="str">
        <f t="shared" si="22"/>
        <v>Operating expenditure</v>
      </c>
      <c r="R89" s="1258"/>
      <c r="S89" s="1258"/>
      <c r="T89" s="1258"/>
    </row>
    <row r="90" spans="1:26" ht="15" customHeight="1" x14ac:dyDescent="0.3">
      <c r="A90" s="1222"/>
      <c r="B90" s="1222"/>
      <c r="C90" s="1222"/>
      <c r="D90" s="1222"/>
      <c r="E90" s="1222"/>
      <c r="F90" s="1222"/>
      <c r="G90" s="1222"/>
      <c r="H90" s="1237"/>
      <c r="I90" s="1237"/>
      <c r="J90" s="1236"/>
      <c r="K90" s="1236"/>
      <c r="L90" s="1236"/>
      <c r="M90" s="1236"/>
      <c r="N90" s="1236"/>
      <c r="O90" s="1276"/>
      <c r="P90" s="1222"/>
      <c r="Q90" s="1234"/>
      <c r="R90" s="1234"/>
      <c r="S90" s="1234"/>
      <c r="T90" s="1234"/>
      <c r="X90" s="511" t="s">
        <v>513</v>
      </c>
      <c r="Z90" s="581">
        <f ca="1">J72</f>
        <v>52.721255239764403</v>
      </c>
    </row>
    <row r="91" spans="1:26" ht="15" customHeight="1" x14ac:dyDescent="0.3">
      <c r="A91" s="1222"/>
      <c r="B91" s="1222"/>
      <c r="C91" s="1222"/>
      <c r="D91" s="1222"/>
      <c r="E91" s="1222"/>
      <c r="F91" s="1219" t="s">
        <v>998</v>
      </c>
      <c r="G91" s="1223"/>
      <c r="H91" s="1292" t="s">
        <v>840</v>
      </c>
      <c r="I91" s="1292" t="s">
        <v>745</v>
      </c>
      <c r="J91" s="1224" t="s">
        <v>439</v>
      </c>
      <c r="K91" s="1224" t="s">
        <v>841</v>
      </c>
      <c r="L91" s="1224" t="s">
        <v>832</v>
      </c>
      <c r="M91" s="1224" t="s">
        <v>867</v>
      </c>
      <c r="N91" s="1236"/>
      <c r="O91" s="1276"/>
      <c r="P91" s="1222"/>
      <c r="Q91" s="1234"/>
      <c r="R91" s="1234"/>
      <c r="S91" s="1234"/>
      <c r="T91" s="1234"/>
      <c r="X91" s="511" t="s">
        <v>650</v>
      </c>
      <c r="Z91" s="581">
        <f ca="1">J76</f>
        <v>23.027317325383343</v>
      </c>
    </row>
    <row r="92" spans="1:26" ht="15" customHeight="1" x14ac:dyDescent="0.3">
      <c r="A92" s="1222"/>
      <c r="B92" s="1222"/>
      <c r="C92" s="1222"/>
      <c r="D92" s="1222"/>
      <c r="E92" s="1222"/>
      <c r="F92" s="1277" t="str">
        <f t="shared" ref="F92:M95" si="23">F32</f>
        <v>LCOE (no margin)</v>
      </c>
      <c r="G92" s="1278"/>
      <c r="H92" s="1280">
        <f t="shared" ca="1" si="23"/>
        <v>13.131243925629393</v>
      </c>
      <c r="I92" s="1280">
        <f t="shared" ca="1" si="23"/>
        <v>1.4466438287435119</v>
      </c>
      <c r="J92" s="1279">
        <f t="shared" ca="1" si="23"/>
        <v>91.179438951817573</v>
      </c>
      <c r="K92" s="1280">
        <f t="shared" ca="1" si="23"/>
        <v>2.9180542056954208</v>
      </c>
      <c r="L92" s="1281">
        <f t="shared" ca="1" si="23"/>
        <v>0.32147640638744712</v>
      </c>
      <c r="M92" s="1282">
        <f t="shared" ca="1" si="23"/>
        <v>0.93262072031224019</v>
      </c>
      <c r="N92" s="1236"/>
      <c r="O92" s="1276"/>
      <c r="P92" s="1222"/>
      <c r="Q92" s="1234"/>
      <c r="R92" s="1234"/>
      <c r="S92" s="1234"/>
      <c r="T92" s="1234"/>
      <c r="X92" s="511" t="s">
        <v>999</v>
      </c>
      <c r="Z92" s="581">
        <f ca="1">J84</f>
        <v>13.15337937966239</v>
      </c>
    </row>
    <row r="93" spans="1:26" ht="15" customHeight="1" x14ac:dyDescent="0.3">
      <c r="A93" s="1222"/>
      <c r="B93" s="1222"/>
      <c r="C93" s="1222"/>
      <c r="D93" s="1222"/>
      <c r="E93" s="1222"/>
      <c r="F93" s="1283" t="str">
        <f t="shared" si="23"/>
        <v>AWES Margin</v>
      </c>
      <c r="G93" s="1222"/>
      <c r="H93" s="1237">
        <f t="shared" ca="1" si="23"/>
        <v>0.75926729817294292</v>
      </c>
      <c r="I93" s="1237">
        <f t="shared" ca="1" si="23"/>
        <v>8.3647014516638862E-2</v>
      </c>
      <c r="J93" s="1236">
        <f t="shared" ca="1" si="23"/>
        <v>5.27212552397644</v>
      </c>
      <c r="K93" s="1237">
        <f t="shared" ca="1" si="23"/>
        <v>0.16872606626065398</v>
      </c>
      <c r="L93" s="1238">
        <f t="shared" ca="1" si="23"/>
        <v>1.8588225448141968E-2</v>
      </c>
      <c r="M93" s="1284">
        <f t="shared" ca="1" si="23"/>
        <v>5.3925463462718974E-2</v>
      </c>
      <c r="N93" s="1236"/>
      <c r="O93" s="1258" t="s">
        <v>833</v>
      </c>
      <c r="P93" s="1258"/>
      <c r="Q93" s="1258"/>
      <c r="R93" s="1258"/>
      <c r="S93" s="1258"/>
      <c r="T93" s="1258"/>
      <c r="X93" s="511" t="s">
        <v>1000</v>
      </c>
      <c r="Z93" s="581">
        <f ca="1">J88</f>
        <v>2.2774870070074305</v>
      </c>
    </row>
    <row r="94" spans="1:26" ht="15" customHeight="1" x14ac:dyDescent="0.3">
      <c r="A94" s="1222"/>
      <c r="B94" s="1222"/>
      <c r="C94" s="1222"/>
      <c r="D94" s="1222"/>
      <c r="E94" s="1222"/>
      <c r="F94" s="1283" t="str">
        <f t="shared" si="23"/>
        <v>Parts Margin</v>
      </c>
      <c r="G94" s="1222"/>
      <c r="H94" s="1237">
        <f t="shared" ca="1" si="23"/>
        <v>0.18942892725185789</v>
      </c>
      <c r="I94" s="1237">
        <f t="shared" ca="1" si="23"/>
        <v>2.086901973236089E-2</v>
      </c>
      <c r="J94" s="1236">
        <f t="shared" ca="1" si="23"/>
        <v>1.3153379379662391</v>
      </c>
      <c r="K94" s="1237">
        <f t="shared" ca="1" si="23"/>
        <v>4.2095317167079531E-2</v>
      </c>
      <c r="L94" s="1238">
        <f t="shared" ca="1" si="23"/>
        <v>4.637559940524642E-3</v>
      </c>
      <c r="M94" s="1284">
        <f t="shared" ca="1" si="23"/>
        <v>1.3453816225040912E-2</v>
      </c>
      <c r="N94" s="1236"/>
      <c r="O94" s="1258" t="s">
        <v>997</v>
      </c>
      <c r="P94" s="1258"/>
      <c r="Q94" s="1258"/>
      <c r="R94" s="1258"/>
      <c r="S94" s="1258"/>
      <c r="T94" s="1258"/>
      <c r="X94" s="1285" t="s">
        <v>1001</v>
      </c>
      <c r="Y94" s="1285"/>
      <c r="Z94" s="1286">
        <f ca="1">J93+J94</f>
        <v>6.5874634619426793</v>
      </c>
    </row>
    <row r="95" spans="1:26" ht="15" customHeight="1" x14ac:dyDescent="0.3">
      <c r="A95" s="1222"/>
      <c r="B95" s="1222"/>
      <c r="C95" s="1222"/>
      <c r="D95" s="1222"/>
      <c r="E95" s="1222"/>
      <c r="F95" s="1287" t="str">
        <f t="shared" si="23"/>
        <v>LCOE (with margin)</v>
      </c>
      <c r="G95" s="1288"/>
      <c r="H95" s="1292">
        <f t="shared" ca="1" si="23"/>
        <v>14.079940151054195</v>
      </c>
      <c r="I95" s="1292">
        <f t="shared" ca="1" si="23"/>
        <v>1.5511598629925116</v>
      </c>
      <c r="J95" s="1293">
        <f t="shared" ca="1" si="23"/>
        <v>97.766902413760249</v>
      </c>
      <c r="K95" s="1292">
        <f t="shared" ca="1" si="23"/>
        <v>3.1288755891231546</v>
      </c>
      <c r="L95" s="1289">
        <f t="shared" ca="1" si="23"/>
        <v>0.34470219177611372</v>
      </c>
      <c r="M95" s="1225">
        <f t="shared" ca="1" si="23"/>
        <v>1</v>
      </c>
      <c r="N95" s="1236"/>
      <c r="O95" s="1258" t="s">
        <v>1002</v>
      </c>
      <c r="P95" s="1258"/>
      <c r="Q95" s="1258"/>
      <c r="R95" s="1258"/>
      <c r="S95" s="1258"/>
      <c r="T95" s="1258"/>
      <c r="X95" s="1290" t="s">
        <v>297</v>
      </c>
      <c r="Y95" s="1290"/>
      <c r="Z95" s="1291">
        <f ca="1">SUM(Z90:Z94)</f>
        <v>97.766902413760263</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425" r:id="rId3" name="Drop Down 25">
              <controlPr defaultSize="0" autoLine="0" autoPict="0">
                <anchor>
                  <from>
                    <xdr:col>0</xdr:col>
                    <xdr:colOff>95250</xdr:colOff>
                    <xdr:row>2</xdr:row>
                    <xdr:rowOff>66675</xdr:rowOff>
                  </from>
                  <to>
                    <xdr:col>2</xdr:col>
                    <xdr:colOff>381000</xdr:colOff>
                    <xdr:row>3</xdr:row>
                    <xdr:rowOff>104775</xdr:rowOff>
                  </to>
                </anchor>
              </controlPr>
            </control>
          </mc:Choice>
        </mc:AlternateContent>
        <mc:AlternateContent xmlns:mc="http://schemas.openxmlformats.org/markup-compatibility/2006">
          <mc:Choice Requires="x14">
            <control shapeId="102426" r:id="rId4" name="Drop Down 26">
              <controlPr defaultSize="0" autoLine="0" autoPict="0">
                <anchor>
                  <from>
                    <xdr:col>2</xdr:col>
                    <xdr:colOff>428625</xdr:colOff>
                    <xdr:row>2</xdr:row>
                    <xdr:rowOff>66675</xdr:rowOff>
                  </from>
                  <to>
                    <xdr:col>4</xdr:col>
                    <xdr:colOff>171450</xdr:colOff>
                    <xdr:row>3</xdr:row>
                    <xdr:rowOff>114300</xdr:rowOff>
                  </to>
                </anchor>
              </controlPr>
            </control>
          </mc:Choice>
        </mc:AlternateContent>
        <mc:AlternateContent xmlns:mc="http://schemas.openxmlformats.org/markup-compatibility/2006">
          <mc:Choice Requires="x14">
            <control shapeId="102427" r:id="rId5" name="Drop Down 27">
              <controlPr defaultSize="0" autoLine="0" autoPict="0">
                <anchor>
                  <from>
                    <xdr:col>6</xdr:col>
                    <xdr:colOff>266700</xdr:colOff>
                    <xdr:row>2</xdr:row>
                    <xdr:rowOff>66675</xdr:rowOff>
                  </from>
                  <to>
                    <xdr:col>7</xdr:col>
                    <xdr:colOff>152400</xdr:colOff>
                    <xdr:row>3</xdr:row>
                    <xdr:rowOff>104775</xdr:rowOff>
                  </to>
                </anchor>
              </controlPr>
            </control>
          </mc:Choice>
        </mc:AlternateContent>
        <mc:AlternateContent xmlns:mc="http://schemas.openxmlformats.org/markup-compatibility/2006">
          <mc:Choice Requires="x14">
            <control shapeId="102428" r:id="rId6" name="Drop Down 28">
              <controlPr defaultSize="0" autoLine="0" autoPict="0">
                <anchor>
                  <from>
                    <xdr:col>0</xdr:col>
                    <xdr:colOff>104775</xdr:colOff>
                    <xdr:row>4</xdr:row>
                    <xdr:rowOff>19050</xdr:rowOff>
                  </from>
                  <to>
                    <xdr:col>1</xdr:col>
                    <xdr:colOff>38100</xdr:colOff>
                    <xdr:row>5</xdr:row>
                    <xdr:rowOff>57150</xdr:rowOff>
                  </to>
                </anchor>
              </controlPr>
            </control>
          </mc:Choice>
        </mc:AlternateContent>
        <mc:AlternateContent xmlns:mc="http://schemas.openxmlformats.org/markup-compatibility/2006">
          <mc:Choice Requires="x14">
            <control shapeId="102429" r:id="rId7" name="Drop Down 29">
              <controlPr defaultSize="0" autoLine="0" autoPict="0">
                <anchor>
                  <from>
                    <xdr:col>1</xdr:col>
                    <xdr:colOff>104775</xdr:colOff>
                    <xdr:row>4</xdr:row>
                    <xdr:rowOff>19050</xdr:rowOff>
                  </from>
                  <to>
                    <xdr:col>2</xdr:col>
                    <xdr:colOff>276225</xdr:colOff>
                    <xdr:row>5</xdr:row>
                    <xdr:rowOff>57150</xdr:rowOff>
                  </to>
                </anchor>
              </controlPr>
            </control>
          </mc:Choice>
        </mc:AlternateContent>
        <mc:AlternateContent xmlns:mc="http://schemas.openxmlformats.org/markup-compatibility/2006">
          <mc:Choice Requires="x14">
            <control shapeId="102430" r:id="rId8" name="Drop Down 30">
              <controlPr defaultSize="0" autoLine="0" autoPict="0">
                <anchor>
                  <from>
                    <xdr:col>2</xdr:col>
                    <xdr:colOff>342900</xdr:colOff>
                    <xdr:row>4</xdr:row>
                    <xdr:rowOff>19050</xdr:rowOff>
                  </from>
                  <to>
                    <xdr:col>4</xdr:col>
                    <xdr:colOff>171450</xdr:colOff>
                    <xdr:row>5</xdr:row>
                    <xdr:rowOff>57150</xdr:rowOff>
                  </to>
                </anchor>
              </controlPr>
            </control>
          </mc:Choice>
        </mc:AlternateContent>
        <mc:AlternateContent xmlns:mc="http://schemas.openxmlformats.org/markup-compatibility/2006">
          <mc:Choice Requires="x14">
            <control shapeId="102431" r:id="rId9" name="Drop Down 31">
              <controlPr defaultSize="0" autoLine="0" autoPict="0">
                <anchor>
                  <from>
                    <xdr:col>4</xdr:col>
                    <xdr:colOff>238125</xdr:colOff>
                    <xdr:row>4</xdr:row>
                    <xdr:rowOff>19050</xdr:rowOff>
                  </from>
                  <to>
                    <xdr:col>6</xdr:col>
                    <xdr:colOff>19050</xdr:colOff>
                    <xdr:row>5</xdr:row>
                    <xdr:rowOff>57150</xdr:rowOff>
                  </to>
                </anchor>
              </controlPr>
            </control>
          </mc:Choice>
        </mc:AlternateContent>
        <mc:AlternateContent xmlns:mc="http://schemas.openxmlformats.org/markup-compatibility/2006">
          <mc:Choice Requires="x14">
            <control shapeId="102432" r:id="rId10" name="Check Box 32">
              <controlPr defaultSize="0" autoFill="0" autoLine="0" autoPict="0">
                <anchor moveWithCells="1">
                  <from>
                    <xdr:col>8</xdr:col>
                    <xdr:colOff>333375</xdr:colOff>
                    <xdr:row>4</xdr:row>
                    <xdr:rowOff>9525</xdr:rowOff>
                  </from>
                  <to>
                    <xdr:col>9</xdr:col>
                    <xdr:colOff>828675</xdr:colOff>
                    <xdr:row>5</xdr:row>
                    <xdr:rowOff>47625</xdr:rowOff>
                  </to>
                </anchor>
              </controlPr>
            </control>
          </mc:Choice>
        </mc:AlternateContent>
        <mc:AlternateContent xmlns:mc="http://schemas.openxmlformats.org/markup-compatibility/2006">
          <mc:Choice Requires="x14">
            <control shapeId="102433" r:id="rId11" name="Check Box 33">
              <controlPr defaultSize="0" autoFill="0" autoLine="0" autoPict="0">
                <anchor moveWithCells="1">
                  <from>
                    <xdr:col>8</xdr:col>
                    <xdr:colOff>333375</xdr:colOff>
                    <xdr:row>2</xdr:row>
                    <xdr:rowOff>85725</xdr:rowOff>
                  </from>
                  <to>
                    <xdr:col>9</xdr:col>
                    <xdr:colOff>838200</xdr:colOff>
                    <xdr:row>3</xdr:row>
                    <xdr:rowOff>123825</xdr:rowOff>
                  </to>
                </anchor>
              </controlPr>
            </control>
          </mc:Choice>
        </mc:AlternateContent>
        <mc:AlternateContent xmlns:mc="http://schemas.openxmlformats.org/markup-compatibility/2006">
          <mc:Choice Requires="x14">
            <control shapeId="102434" r:id="rId12" name="Check Box 34">
              <controlPr defaultSize="0" autoFill="0" autoLine="0" autoPict="0">
                <anchor moveWithCells="1">
                  <from>
                    <xdr:col>7</xdr:col>
                    <xdr:colOff>228600</xdr:colOff>
                    <xdr:row>2</xdr:row>
                    <xdr:rowOff>85725</xdr:rowOff>
                  </from>
                  <to>
                    <xdr:col>9</xdr:col>
                    <xdr:colOff>95250</xdr:colOff>
                    <xdr:row>3</xdr:row>
                    <xdr:rowOff>123825</xdr:rowOff>
                  </to>
                </anchor>
              </controlPr>
            </control>
          </mc:Choice>
        </mc:AlternateContent>
        <mc:AlternateContent xmlns:mc="http://schemas.openxmlformats.org/markup-compatibility/2006">
          <mc:Choice Requires="x14">
            <control shapeId="102435" r:id="rId13" name="Drop Down 35">
              <controlPr defaultSize="0" autoLine="0" autoPict="0">
                <anchor moveWithCells="1">
                  <from>
                    <xdr:col>6</xdr:col>
                    <xdr:colOff>95250</xdr:colOff>
                    <xdr:row>4</xdr:row>
                    <xdr:rowOff>19050</xdr:rowOff>
                  </from>
                  <to>
                    <xdr:col>7</xdr:col>
                    <xdr:colOff>152400</xdr:colOff>
                    <xdr:row>5</xdr:row>
                    <xdr:rowOff>57150</xdr:rowOff>
                  </to>
                </anchor>
              </controlPr>
            </control>
          </mc:Choice>
        </mc:AlternateContent>
        <mc:AlternateContent xmlns:mc="http://schemas.openxmlformats.org/markup-compatibility/2006">
          <mc:Choice Requires="x14">
            <control shapeId="102436" r:id="rId14" name="Drop Down 36">
              <controlPr defaultSize="0" autoLine="0" autoPict="0">
                <anchor>
                  <from>
                    <xdr:col>4</xdr:col>
                    <xdr:colOff>219075</xdr:colOff>
                    <xdr:row>2</xdr:row>
                    <xdr:rowOff>66675</xdr:rowOff>
                  </from>
                  <to>
                    <xdr:col>6</xdr:col>
                    <xdr:colOff>219075</xdr:colOff>
                    <xdr:row>3</xdr:row>
                    <xdr:rowOff>104775</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AE15"/>
  <sheetViews>
    <sheetView showGridLines="0" zoomScale="115" zoomScaleNormal="115" workbookViewId="0">
      <selection activeCell="L105" sqref="L105"/>
    </sheetView>
  </sheetViews>
  <sheetFormatPr defaultRowHeight="15" outlineLevelCol="1" x14ac:dyDescent="0.3"/>
  <cols>
    <col min="1" max="1" width="5.125" customWidth="1"/>
    <col min="5" max="5" width="9" style="25"/>
    <col min="7" max="17" width="8.375" customWidth="1"/>
    <col min="18" max="21" width="8.375" hidden="1" customWidth="1" outlineLevel="1"/>
    <col min="22" max="22" width="8.375" customWidth="1" collapsed="1"/>
    <col min="23" max="26" width="8.375" hidden="1" customWidth="1" outlineLevel="1"/>
    <col min="27" max="27" width="8.375" customWidth="1" collapsed="1"/>
    <col min="28" max="30" width="8.375" customWidth="1"/>
  </cols>
  <sheetData>
    <row r="1" spans="1:31" x14ac:dyDescent="0.3">
      <c r="G1" t="s">
        <v>1067</v>
      </c>
    </row>
    <row r="3" spans="1:31" x14ac:dyDescent="0.3">
      <c r="G3">
        <v>0</v>
      </c>
      <c r="H3">
        <v>1</v>
      </c>
      <c r="I3">
        <v>2</v>
      </c>
      <c r="J3">
        <v>3</v>
      </c>
      <c r="K3">
        <v>4</v>
      </c>
      <c r="L3">
        <v>5</v>
      </c>
      <c r="M3">
        <v>6</v>
      </c>
      <c r="N3">
        <v>7</v>
      </c>
      <c r="O3">
        <v>8</v>
      </c>
      <c r="P3">
        <v>9</v>
      </c>
      <c r="Q3">
        <v>10</v>
      </c>
      <c r="R3">
        <v>11</v>
      </c>
      <c r="S3">
        <v>12</v>
      </c>
      <c r="T3">
        <v>13</v>
      </c>
      <c r="U3">
        <v>14</v>
      </c>
      <c r="V3">
        <v>15</v>
      </c>
      <c r="W3">
        <v>16</v>
      </c>
      <c r="X3">
        <v>17</v>
      </c>
      <c r="Y3">
        <v>18</v>
      </c>
      <c r="Z3">
        <v>19</v>
      </c>
      <c r="AA3">
        <v>20</v>
      </c>
      <c r="AC3" s="1988" t="s">
        <v>725</v>
      </c>
      <c r="AD3" s="1988" t="s">
        <v>297</v>
      </c>
    </row>
    <row r="4" spans="1:31" x14ac:dyDescent="0.3">
      <c r="G4" s="156">
        <v>2020</v>
      </c>
      <c r="H4">
        <f>G4+1</f>
        <v>2021</v>
      </c>
      <c r="I4">
        <f t="shared" ref="I4:U4" si="0">H4+1</f>
        <v>2022</v>
      </c>
      <c r="J4">
        <f t="shared" si="0"/>
        <v>2023</v>
      </c>
      <c r="K4">
        <f t="shared" si="0"/>
        <v>2024</v>
      </c>
      <c r="L4">
        <f t="shared" si="0"/>
        <v>2025</v>
      </c>
      <c r="M4">
        <f t="shared" si="0"/>
        <v>2026</v>
      </c>
      <c r="N4">
        <f t="shared" si="0"/>
        <v>2027</v>
      </c>
      <c r="O4">
        <f t="shared" si="0"/>
        <v>2028</v>
      </c>
      <c r="P4">
        <f t="shared" si="0"/>
        <v>2029</v>
      </c>
      <c r="Q4">
        <f t="shared" si="0"/>
        <v>2030</v>
      </c>
      <c r="R4">
        <f t="shared" si="0"/>
        <v>2031</v>
      </c>
      <c r="S4">
        <f t="shared" si="0"/>
        <v>2032</v>
      </c>
      <c r="T4">
        <f t="shared" si="0"/>
        <v>2033</v>
      </c>
      <c r="U4">
        <f t="shared" si="0"/>
        <v>2034</v>
      </c>
      <c r="V4">
        <f t="shared" ref="V4:AA4" si="1">U4+1</f>
        <v>2035</v>
      </c>
      <c r="W4">
        <f t="shared" si="1"/>
        <v>2036</v>
      </c>
      <c r="X4">
        <f t="shared" si="1"/>
        <v>2037</v>
      </c>
      <c r="Y4">
        <f t="shared" si="1"/>
        <v>2038</v>
      </c>
      <c r="Z4">
        <f t="shared" si="1"/>
        <v>2039</v>
      </c>
      <c r="AA4">
        <f t="shared" si="1"/>
        <v>2040</v>
      </c>
      <c r="AC4" s="1988"/>
      <c r="AD4" s="1988"/>
    </row>
    <row r="5" spans="1:31" x14ac:dyDescent="0.3">
      <c r="A5" s="455" t="s">
        <v>723</v>
      </c>
    </row>
    <row r="6" spans="1:31" x14ac:dyDescent="0.3">
      <c r="B6" s="139" t="s">
        <v>692</v>
      </c>
      <c r="E6" s="25" t="s">
        <v>692</v>
      </c>
      <c r="G6" s="32">
        <f ca="1">SUM(OFFSET(DevCost!$Y$251,0,'Program BP'!G$3*2):OFFSET(DevCost!$Z$251,0,'Program BP'!G$3*2))</f>
        <v>26.807783794942601</v>
      </c>
      <c r="H6" s="32">
        <f ca="1">SUM(OFFSET(DevCost!$Y$251,0,'Program BP'!H$3*2):OFFSET(DevCost!$Z$251,0,'Program BP'!H$3*2))</f>
        <v>71.115567589885202</v>
      </c>
      <c r="I6" s="32">
        <f ca="1">SUM(OFFSET(DevCost!$Y$251,0,'Program BP'!I$3*2):OFFSET(DevCost!$Z$251,0,'Program BP'!I$3*2))</f>
        <v>188.24189716487334</v>
      </c>
      <c r="J6" s="32">
        <f ca="1">SUM(OFFSET(DevCost!$Y$251,0,'Program BP'!J$3*2):OFFSET(DevCost!$Z$251,0,'Program BP'!J$3*2))</f>
        <v>145.44969252361011</v>
      </c>
      <c r="K6" s="32">
        <f ca="1">SUM(OFFSET(DevCost!$Y$251,0,'Program BP'!K$3*2):OFFSET(DevCost!$Z$251,0,'Program BP'!K$3*2))</f>
        <v>132.34448909428795</v>
      </c>
      <c r="L6" s="32">
        <f ca="1">SUM(OFFSET(DevCost!$Y$251,0,'Program BP'!L$3*2):OFFSET(DevCost!$Z$251,0,'Program BP'!L$3*2))</f>
        <v>127.18531713175145</v>
      </c>
      <c r="M6" s="32"/>
      <c r="N6" s="32"/>
      <c r="O6" s="32"/>
      <c r="P6" s="32"/>
      <c r="Q6" s="32"/>
      <c r="R6" s="32"/>
      <c r="S6" s="32"/>
      <c r="T6" s="32"/>
      <c r="U6" s="32"/>
      <c r="V6" s="32"/>
      <c r="W6" s="32"/>
      <c r="X6" s="32"/>
      <c r="Y6" s="32"/>
      <c r="Z6" s="32"/>
      <c r="AA6" s="32"/>
      <c r="AD6" s="32">
        <f ca="1">SUM(G6:AB6)</f>
        <v>691.14474729935068</v>
      </c>
    </row>
    <row r="7" spans="1:31" x14ac:dyDescent="0.3">
      <c r="B7" s="139" t="s">
        <v>716</v>
      </c>
      <c r="E7" s="25" t="s">
        <v>717</v>
      </c>
      <c r="G7" s="32">
        <f ca="1">SUM(OFFSET(DevCost!$Y$246,0,'Program BP'!G3*2):OFFSET(DevCost!$Z$246,0,'Program BP'!G3*2))</f>
        <v>1253.0783007725649</v>
      </c>
      <c r="H7" s="32">
        <f ca="1">SUM(OFFSET(DevCost!$Y$246,0,'Program BP'!H3*2):OFFSET(DevCost!$Z$246,0,'Program BP'!H3*2))</f>
        <v>4655.1160630968679</v>
      </c>
      <c r="I7" s="32">
        <f ca="1">SUM(OFFSET(DevCost!$Y$246,0,'Program BP'!I3*2):OFFSET(DevCost!$Z$246,0,'Program BP'!I3*2))</f>
        <v>15275.101205422687</v>
      </c>
      <c r="J7" s="32">
        <f ca="1">SUM(OFFSET(DevCost!$Y$246,0,'Program BP'!J3*2):OFFSET(DevCost!$Z$246,0,'Program BP'!J3*2))</f>
        <v>10517.928560596023</v>
      </c>
      <c r="K7" s="32">
        <f ca="1">SUM(OFFSET(DevCost!$Y$246,0,'Program BP'!K3*2):OFFSET(DevCost!$Z$246,0,'Program BP'!K3*2))</f>
        <v>7734.7616423780455</v>
      </c>
      <c r="L7" s="32">
        <f ca="1">SUM(OFFSET(DevCost!$Y$246,0,'Program BP'!L3*2):OFFSET(DevCost!$Z$246,0,'Program BP'!L3*2))</f>
        <v>7486.4855749850303</v>
      </c>
      <c r="M7" s="32"/>
      <c r="N7" s="32"/>
      <c r="O7" s="32"/>
      <c r="P7" s="32"/>
      <c r="Q7" s="32"/>
      <c r="R7" s="32"/>
      <c r="S7" s="32"/>
      <c r="T7" s="32"/>
      <c r="U7" s="32"/>
      <c r="V7" s="32"/>
      <c r="W7" s="32"/>
      <c r="X7" s="32"/>
      <c r="Y7" s="32"/>
      <c r="Z7" s="32"/>
      <c r="AA7" s="32"/>
      <c r="AC7" s="32">
        <f ca="1">SUM(L7:Q7)</f>
        <v>7486.4855749850303</v>
      </c>
      <c r="AD7" s="32">
        <f ca="1">SUM(G7:AB7)</f>
        <v>46922.471347251216</v>
      </c>
    </row>
    <row r="8" spans="1:31" x14ac:dyDescent="0.3">
      <c r="B8" s="139" t="s">
        <v>718</v>
      </c>
      <c r="E8" s="25" t="s">
        <v>717</v>
      </c>
      <c r="G8" s="32">
        <f ca="1">G7+F8</f>
        <v>1253.0783007725649</v>
      </c>
      <c r="H8" s="32">
        <f t="shared" ref="H8:U8" ca="1" si="2">H7+G8</f>
        <v>5908.1943638694329</v>
      </c>
      <c r="I8" s="32">
        <f t="shared" ca="1" si="2"/>
        <v>21183.29556929212</v>
      </c>
      <c r="J8" s="32">
        <f t="shared" ca="1" si="2"/>
        <v>31701.224129888142</v>
      </c>
      <c r="K8" s="32">
        <f t="shared" ca="1" si="2"/>
        <v>39435.985772266184</v>
      </c>
      <c r="L8" s="32">
        <f t="shared" ca="1" si="2"/>
        <v>46922.471347251216</v>
      </c>
      <c r="M8" s="32">
        <f t="shared" ca="1" si="2"/>
        <v>46922.471347251216</v>
      </c>
      <c r="N8" s="32">
        <f t="shared" ca="1" si="2"/>
        <v>46922.471347251216</v>
      </c>
      <c r="O8" s="32">
        <f t="shared" ca="1" si="2"/>
        <v>46922.471347251216</v>
      </c>
      <c r="P8" s="32">
        <f t="shared" ca="1" si="2"/>
        <v>46922.471347251216</v>
      </c>
      <c r="Q8" s="32">
        <f t="shared" ca="1" si="2"/>
        <v>46922.471347251216</v>
      </c>
      <c r="R8" s="32">
        <f t="shared" ca="1" si="2"/>
        <v>46922.471347251216</v>
      </c>
      <c r="S8" s="32">
        <f t="shared" ca="1" si="2"/>
        <v>46922.471347251216</v>
      </c>
      <c r="T8" s="32">
        <f t="shared" ca="1" si="2"/>
        <v>46922.471347251216</v>
      </c>
      <c r="U8" s="32">
        <f t="shared" ca="1" si="2"/>
        <v>46922.471347251216</v>
      </c>
      <c r="V8" s="32">
        <f t="shared" ref="V8:AA8" ca="1" si="3">V7+U8</f>
        <v>46922.471347251216</v>
      </c>
      <c r="W8" s="32">
        <f t="shared" ca="1" si="3"/>
        <v>46922.471347251216</v>
      </c>
      <c r="X8" s="32">
        <f t="shared" ca="1" si="3"/>
        <v>46922.471347251216</v>
      </c>
      <c r="Y8" s="32">
        <f t="shared" ca="1" si="3"/>
        <v>46922.471347251216</v>
      </c>
      <c r="Z8" s="32">
        <f t="shared" ca="1" si="3"/>
        <v>46922.471347251216</v>
      </c>
      <c r="AA8" s="32">
        <f t="shared" ca="1" si="3"/>
        <v>46922.471347251216</v>
      </c>
    </row>
    <row r="9" spans="1:31" x14ac:dyDescent="0.3">
      <c r="B9" s="139" t="s">
        <v>719</v>
      </c>
      <c r="E9" s="25" t="s">
        <v>717</v>
      </c>
      <c r="G9" s="32">
        <f t="shared" ref="G9:AA9" ca="1" si="4">F9*(1+Ampyx_WACC)+G7</f>
        <v>1253.0783007725649</v>
      </c>
      <c r="H9" s="32">
        <f t="shared" ca="1" si="4"/>
        <v>6096.1561089853176</v>
      </c>
      <c r="I9" s="32">
        <f t="shared" ca="1" si="4"/>
        <v>22285.680730755801</v>
      </c>
      <c r="J9" s="32">
        <f t="shared" ca="1" si="4"/>
        <v>36146.461400965192</v>
      </c>
      <c r="K9" s="32">
        <f t="shared" ca="1" si="4"/>
        <v>49303.192253488014</v>
      </c>
      <c r="L9" s="32">
        <f t="shared" ca="1" si="4"/>
        <v>64185.156666496245</v>
      </c>
      <c r="M9" s="32">
        <f t="shared" ca="1" si="4"/>
        <v>73812.930166470673</v>
      </c>
      <c r="N9" s="32">
        <f t="shared" ca="1" si="4"/>
        <v>84884.869691441272</v>
      </c>
      <c r="O9" s="32">
        <f t="shared" ca="1" si="4"/>
        <v>97617.600145157456</v>
      </c>
      <c r="P9" s="32">
        <f t="shared" ca="1" si="4"/>
        <v>112260.24016693106</v>
      </c>
      <c r="Q9" s="32">
        <f t="shared" ca="1" si="4"/>
        <v>129099.27619197071</v>
      </c>
      <c r="R9" s="32">
        <f t="shared" ca="1" si="4"/>
        <v>148464.1676207663</v>
      </c>
      <c r="S9" s="32">
        <f t="shared" ca="1" si="4"/>
        <v>170733.79276388124</v>
      </c>
      <c r="T9" s="32">
        <f t="shared" ca="1" si="4"/>
        <v>196343.86167846341</v>
      </c>
      <c r="U9" s="32">
        <f t="shared" ca="1" si="4"/>
        <v>225795.4409302329</v>
      </c>
      <c r="V9" s="32">
        <f t="shared" ca="1" si="4"/>
        <v>259664.7570697678</v>
      </c>
      <c r="W9" s="32">
        <f t="shared" ca="1" si="4"/>
        <v>298614.47063023294</v>
      </c>
      <c r="X9" s="32">
        <f t="shared" ca="1" si="4"/>
        <v>343406.64122476784</v>
      </c>
      <c r="Y9" s="32">
        <f t="shared" ca="1" si="4"/>
        <v>394917.63740848296</v>
      </c>
      <c r="Z9" s="32">
        <f t="shared" ca="1" si="4"/>
        <v>454155.28301975538</v>
      </c>
      <c r="AA9" s="32">
        <f t="shared" ca="1" si="4"/>
        <v>522278.57547271863</v>
      </c>
    </row>
    <row r="10" spans="1:31" x14ac:dyDescent="0.3">
      <c r="B10" s="139" t="s">
        <v>726</v>
      </c>
      <c r="E10" s="25" t="s">
        <v>525</v>
      </c>
      <c r="G10" s="32"/>
      <c r="H10" s="32"/>
      <c r="I10" s="32"/>
      <c r="J10" s="32"/>
      <c r="K10" s="32"/>
      <c r="L10" s="456">
        <f ca="1">L9/Q</f>
        <v>4.2790104444330828</v>
      </c>
      <c r="M10" s="32">
        <f ca="1">L10*(1+WACC)</f>
        <v>4.9208620110980448</v>
      </c>
      <c r="N10" s="32"/>
      <c r="O10" s="32"/>
      <c r="P10" s="32"/>
      <c r="Q10" s="32"/>
      <c r="R10" s="32"/>
      <c r="S10" s="32"/>
      <c r="T10" s="32"/>
      <c r="U10" s="32"/>
      <c r="V10" s="32"/>
      <c r="W10" s="32"/>
      <c r="X10" s="32"/>
      <c r="Y10" s="32"/>
      <c r="Z10" s="32"/>
      <c r="AA10" s="32"/>
    </row>
    <row r="11" spans="1:31" x14ac:dyDescent="0.3">
      <c r="E11" s="25" t="s">
        <v>727</v>
      </c>
      <c r="L11" s="457">
        <f ca="1">L10/AWES_capex</f>
        <v>1.6907130550979269E-2</v>
      </c>
    </row>
    <row r="12" spans="1:31" x14ac:dyDescent="0.3">
      <c r="A12" s="455" t="s">
        <v>723</v>
      </c>
    </row>
    <row r="13" spans="1:31" x14ac:dyDescent="0.3">
      <c r="B13" s="139" t="s">
        <v>720</v>
      </c>
      <c r="E13" s="25" t="s">
        <v>721</v>
      </c>
      <c r="L13" s="381">
        <v>0.05</v>
      </c>
      <c r="M13" s="381">
        <v>0.1</v>
      </c>
      <c r="N13" s="381">
        <v>0.2</v>
      </c>
      <c r="O13" s="381">
        <v>0.45</v>
      </c>
      <c r="P13" s="381">
        <v>0.7</v>
      </c>
      <c r="Q13" s="381">
        <v>1</v>
      </c>
      <c r="R13" s="453">
        <f t="shared" ref="R13:AA13" si="5">$Q$13</f>
        <v>1</v>
      </c>
      <c r="S13" s="453">
        <f t="shared" si="5"/>
        <v>1</v>
      </c>
      <c r="T13" s="453">
        <f t="shared" si="5"/>
        <v>1</v>
      </c>
      <c r="U13" s="453">
        <f t="shared" si="5"/>
        <v>1</v>
      </c>
      <c r="V13" s="453">
        <f t="shared" si="5"/>
        <v>1</v>
      </c>
      <c r="W13" s="453">
        <f t="shared" si="5"/>
        <v>1</v>
      </c>
      <c r="X13" s="453">
        <f t="shared" si="5"/>
        <v>1</v>
      </c>
      <c r="Y13" s="453">
        <f t="shared" si="5"/>
        <v>1</v>
      </c>
      <c r="Z13" s="453">
        <f t="shared" si="5"/>
        <v>1</v>
      </c>
      <c r="AA13" s="453">
        <f t="shared" si="5"/>
        <v>1</v>
      </c>
      <c r="AC13" s="454">
        <f>SUM(L13:Q13)</f>
        <v>2.5</v>
      </c>
      <c r="AE13" s="139"/>
    </row>
    <row r="14" spans="1:31" x14ac:dyDescent="0.3">
      <c r="B14" s="139" t="s">
        <v>720</v>
      </c>
      <c r="E14" s="25" t="s">
        <v>724</v>
      </c>
      <c r="L14" s="76">
        <f t="shared" ref="L14:AA14" ca="1" si="6">L15/Q</f>
        <v>0.02</v>
      </c>
      <c r="M14" s="76">
        <f t="shared" ca="1" si="6"/>
        <v>0.04</v>
      </c>
      <c r="N14" s="76">
        <f t="shared" ca="1" si="6"/>
        <v>0.08</v>
      </c>
      <c r="O14" s="76">
        <f t="shared" ca="1" si="6"/>
        <v>0.18</v>
      </c>
      <c r="P14" s="76">
        <f t="shared" ca="1" si="6"/>
        <v>0.28000000000000003</v>
      </c>
      <c r="Q14" s="76">
        <f t="shared" ca="1" si="6"/>
        <v>0.4</v>
      </c>
      <c r="R14" s="76">
        <f t="shared" ca="1" si="6"/>
        <v>0.4</v>
      </c>
      <c r="S14" s="76">
        <f t="shared" ca="1" si="6"/>
        <v>0.4</v>
      </c>
      <c r="T14" s="76">
        <f t="shared" ca="1" si="6"/>
        <v>0.4</v>
      </c>
      <c r="U14" s="76">
        <f t="shared" ca="1" si="6"/>
        <v>0.4</v>
      </c>
      <c r="V14" s="76">
        <f t="shared" ca="1" si="6"/>
        <v>0.4</v>
      </c>
      <c r="W14" s="76">
        <f t="shared" ca="1" si="6"/>
        <v>0.4</v>
      </c>
      <c r="X14" s="76">
        <f t="shared" ca="1" si="6"/>
        <v>0.4</v>
      </c>
      <c r="Y14" s="76">
        <f t="shared" ca="1" si="6"/>
        <v>0.4</v>
      </c>
      <c r="Z14" s="76">
        <f t="shared" ca="1" si="6"/>
        <v>0.4</v>
      </c>
      <c r="AA14" s="76">
        <f t="shared" ca="1" si="6"/>
        <v>0.4</v>
      </c>
      <c r="AC14" s="76">
        <f ca="1">SUM(L14:Q14)</f>
        <v>1</v>
      </c>
      <c r="AD14" s="76">
        <f ca="1">SUM(G14:AA14)</f>
        <v>5</v>
      </c>
      <c r="AE14" s="139"/>
    </row>
    <row r="15" spans="1:31" x14ac:dyDescent="0.3">
      <c r="B15" s="139" t="s">
        <v>722</v>
      </c>
      <c r="E15" s="25" t="s">
        <v>666</v>
      </c>
      <c r="G15" s="32">
        <f t="shared" ref="G15:AA15" ca="1" si="7">G13*Q/$AC$13</f>
        <v>0</v>
      </c>
      <c r="H15" s="32">
        <f t="shared" ca="1" si="7"/>
        <v>0</v>
      </c>
      <c r="I15" s="32">
        <f t="shared" ca="1" si="7"/>
        <v>0</v>
      </c>
      <c r="J15" s="32">
        <f t="shared" ca="1" si="7"/>
        <v>0</v>
      </c>
      <c r="K15" s="32">
        <f t="shared" ca="1" si="7"/>
        <v>0</v>
      </c>
      <c r="L15" s="32">
        <f t="shared" ca="1" si="7"/>
        <v>300</v>
      </c>
      <c r="M15" s="32">
        <f t="shared" ca="1" si="7"/>
        <v>600</v>
      </c>
      <c r="N15" s="32">
        <f t="shared" ca="1" si="7"/>
        <v>1200</v>
      </c>
      <c r="O15" s="32">
        <f t="shared" ca="1" si="7"/>
        <v>2700</v>
      </c>
      <c r="P15" s="32">
        <f t="shared" ca="1" si="7"/>
        <v>4200</v>
      </c>
      <c r="Q15" s="32">
        <f t="shared" ca="1" si="7"/>
        <v>6000</v>
      </c>
      <c r="R15" s="32">
        <f t="shared" ca="1" si="7"/>
        <v>6000</v>
      </c>
      <c r="S15" s="32">
        <f t="shared" ca="1" si="7"/>
        <v>6000</v>
      </c>
      <c r="T15" s="32">
        <f t="shared" ca="1" si="7"/>
        <v>6000</v>
      </c>
      <c r="U15" s="32">
        <f t="shared" ca="1" si="7"/>
        <v>6000</v>
      </c>
      <c r="V15" s="32">
        <f t="shared" ca="1" si="7"/>
        <v>6000</v>
      </c>
      <c r="W15" s="32">
        <f t="shared" ca="1" si="7"/>
        <v>6000</v>
      </c>
      <c r="X15" s="32">
        <f t="shared" ca="1" si="7"/>
        <v>6000</v>
      </c>
      <c r="Y15" s="32">
        <f t="shared" ca="1" si="7"/>
        <v>6000</v>
      </c>
      <c r="Z15" s="32">
        <f t="shared" ca="1" si="7"/>
        <v>6000</v>
      </c>
      <c r="AA15" s="32">
        <f t="shared" ca="1" si="7"/>
        <v>6000</v>
      </c>
      <c r="AC15" s="32">
        <f ca="1">SUM(L15:Q15)</f>
        <v>15000</v>
      </c>
      <c r="AD15">
        <f ca="1">SUM(G15:AA15)</f>
        <v>75000</v>
      </c>
    </row>
  </sheetData>
  <mergeCells count="2">
    <mergeCell ref="AC3:AC4"/>
    <mergeCell ref="AD3:AD4"/>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65537" r:id="rId3" name="Drop Down 1">
              <controlPr defaultSize="0" autoLine="0" autoPict="0">
                <anchor moveWithCells="1">
                  <from>
                    <xdr:col>6</xdr:col>
                    <xdr:colOff>552450</xdr:colOff>
                    <xdr:row>0</xdr:row>
                    <xdr:rowOff>28575</xdr:rowOff>
                  </from>
                  <to>
                    <xdr:col>8</xdr:col>
                    <xdr:colOff>400050</xdr:colOff>
                    <xdr:row>0</xdr:row>
                    <xdr:rowOff>161925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rgb="FFFFC000"/>
  </sheetPr>
  <dimension ref="A1:AQ261"/>
  <sheetViews>
    <sheetView showGridLines="0" zoomScale="85" zoomScaleNormal="85" workbookViewId="0">
      <pane xSplit="8" ySplit="6" topLeftCell="I97" activePane="bottomRight" state="frozen"/>
      <selection activeCell="L105" sqref="L105"/>
      <selection pane="topRight" activeCell="L105" sqref="L105"/>
      <selection pane="bottomLeft" activeCell="L105" sqref="L105"/>
      <selection pane="bottomRight" activeCell="G250" sqref="G250"/>
    </sheetView>
  </sheetViews>
  <sheetFormatPr defaultColWidth="7.375" defaultRowHeight="15" outlineLevelRow="1" outlineLevelCol="1" x14ac:dyDescent="0.3"/>
  <cols>
    <col min="1" max="1" width="13" style="26" hidden="1" customWidth="1" outlineLevel="1"/>
    <col min="2" max="2" width="6.625" style="26" hidden="1" customWidth="1" outlineLevel="1"/>
    <col min="3" max="3" width="9.375" style="27" hidden="1" customWidth="1" outlineLevel="1"/>
    <col min="4" max="4" width="12" style="129" hidden="1" customWidth="1" outlineLevel="1"/>
    <col min="5" max="5" width="7.375" style="26" collapsed="1"/>
    <col min="6" max="7" width="7.375" style="26"/>
    <col min="8" max="8" width="12" style="26" customWidth="1"/>
    <col min="9" max="11" width="9.375" style="26" hidden="1" customWidth="1" outlineLevel="1"/>
    <col min="12" max="13" width="10" style="140" hidden="1" customWidth="1" outlineLevel="1"/>
    <col min="14" max="14" width="42.375" style="140" hidden="1" customWidth="1" outlineLevel="1"/>
    <col min="15" max="15" width="12.125" style="26" hidden="1" customWidth="1" outlineLevel="1"/>
    <col min="16" max="16" width="10" style="27" customWidth="1" collapsed="1"/>
    <col min="17" max="17" width="10" style="140" hidden="1" customWidth="1" outlineLevel="1"/>
    <col min="18" max="18" width="10" style="193" customWidth="1" collapsed="1"/>
    <col min="19" max="19" width="10.375" style="140" customWidth="1"/>
    <col min="20" max="20" width="10" style="193" customWidth="1" collapsed="1"/>
    <col min="21" max="21" width="10.375" style="140" customWidth="1"/>
    <col min="22" max="22" width="3.875" style="335" customWidth="1"/>
    <col min="23" max="23" width="12.375" style="26" bestFit="1" customWidth="1"/>
    <col min="24" max="24" width="3.375" style="335" customWidth="1"/>
    <col min="25" max="25" width="7.375" style="260" customWidth="1"/>
    <col min="26" max="38" width="7.375" style="26" customWidth="1"/>
    <col min="39" max="39" width="3.375" style="26" customWidth="1"/>
    <col min="40" max="40" width="10" style="241" customWidth="1"/>
    <col min="41" max="41" width="10.375" style="311" customWidth="1"/>
    <col min="42" max="42" width="10.375" style="140" customWidth="1"/>
    <col min="43" max="16384" width="7.375" style="26"/>
  </cols>
  <sheetData>
    <row r="1" spans="1:43" s="129" customFormat="1" ht="21" x14ac:dyDescent="0.3">
      <c r="C1" s="436"/>
      <c r="E1" s="7" t="s">
        <v>476</v>
      </c>
      <c r="L1" s="394"/>
      <c r="M1" s="394"/>
      <c r="N1" s="394"/>
      <c r="P1" s="436"/>
      <c r="Q1" s="394"/>
      <c r="R1" s="437" t="s">
        <v>297</v>
      </c>
      <c r="S1" s="438">
        <f ca="1">S246</f>
        <v>45393.10221388402</v>
      </c>
      <c r="T1" s="437"/>
      <c r="U1" s="438">
        <f ca="1">U246</f>
        <v>46922.471347251216</v>
      </c>
      <c r="V1" s="439"/>
      <c r="X1" s="439"/>
      <c r="Y1" s="200">
        <v>0</v>
      </c>
      <c r="AA1" s="129">
        <v>1</v>
      </c>
      <c r="AC1" s="129">
        <v>2</v>
      </c>
      <c r="AE1" s="129">
        <v>3</v>
      </c>
      <c r="AG1" s="129">
        <v>4</v>
      </c>
      <c r="AI1" s="129">
        <v>5</v>
      </c>
      <c r="AP1" s="438">
        <f ca="1">AP246</f>
        <v>46922.471347251216</v>
      </c>
    </row>
    <row r="2" spans="1:43" s="9" customFormat="1" ht="30" customHeight="1" x14ac:dyDescent="0.3">
      <c r="C2" s="332"/>
      <c r="D2" s="299"/>
      <c r="F2" s="391"/>
      <c r="G2" s="391"/>
      <c r="L2" s="299"/>
      <c r="M2" s="299"/>
      <c r="N2" s="299"/>
      <c r="O2" s="299"/>
      <c r="P2" s="434" t="s">
        <v>677</v>
      </c>
      <c r="Q2" s="434"/>
      <c r="R2" s="435" t="s">
        <v>307</v>
      </c>
      <c r="S2" s="435" t="s">
        <v>687</v>
      </c>
      <c r="T2" s="435" t="s">
        <v>275</v>
      </c>
      <c r="U2" s="435" t="s">
        <v>688</v>
      </c>
      <c r="V2" s="335"/>
      <c r="W2" s="434" t="s">
        <v>281</v>
      </c>
      <c r="X2" s="335"/>
      <c r="Y2" s="434" t="s">
        <v>362</v>
      </c>
      <c r="Z2" s="434"/>
      <c r="AA2" s="434"/>
      <c r="AB2" s="434"/>
      <c r="AC2" s="434"/>
      <c r="AD2" s="434"/>
      <c r="AE2" s="434"/>
      <c r="AF2" s="434"/>
      <c r="AG2" s="434"/>
      <c r="AH2" s="434"/>
      <c r="AI2" s="434"/>
      <c r="AJ2" s="434"/>
      <c r="AK2" s="434"/>
      <c r="AL2" s="434"/>
      <c r="AM2" s="26"/>
      <c r="AN2" s="434" t="s">
        <v>297</v>
      </c>
      <c r="AO2" s="434"/>
      <c r="AP2" s="434"/>
    </row>
    <row r="3" spans="1:43" s="9" customFormat="1" hidden="1" outlineLevel="1" x14ac:dyDescent="0.3">
      <c r="A3" s="9" t="s">
        <v>705</v>
      </c>
      <c r="C3" s="332"/>
      <c r="D3" s="299"/>
      <c r="F3" s="391"/>
      <c r="G3" s="391"/>
      <c r="H3" s="9" t="s">
        <v>712</v>
      </c>
      <c r="P3" s="27"/>
      <c r="Q3" s="140"/>
      <c r="R3" s="193"/>
      <c r="S3" s="440">
        <f ca="1">SUBTOTAL(9,S7:S254)</f>
        <v>164786.11021368764</v>
      </c>
      <c r="T3" s="193"/>
      <c r="U3" s="440">
        <f ca="1">SUBTOTAL(9,U7:U254)</f>
        <v>172432.95588052363</v>
      </c>
      <c r="V3" s="335"/>
      <c r="X3" s="335"/>
      <c r="Y3" s="440">
        <f t="shared" ref="Y3:AL3" ca="1" si="0">SUBTOTAL(9,Y7:Y254)</f>
        <v>0</v>
      </c>
      <c r="Z3" s="440">
        <f t="shared" ca="1" si="0"/>
        <v>3299.8815129073264</v>
      </c>
      <c r="AA3" s="440">
        <f t="shared" ca="1" si="0"/>
        <v>4801.4148462406583</v>
      </c>
      <c r="AB3" s="440">
        <f t="shared" ca="1" si="0"/>
        <v>8970.2526924476078</v>
      </c>
      <c r="AC3" s="440">
        <f t="shared" ca="1" si="0"/>
        <v>15429.673484685249</v>
      </c>
      <c r="AD3" s="440">
        <f t="shared" ca="1" si="0"/>
        <v>33327.999530507062</v>
      </c>
      <c r="AE3" s="440">
        <f t="shared" ca="1" si="0"/>
        <v>21897.195630352697</v>
      </c>
      <c r="AF3" s="440">
        <f t="shared" ca="1" si="0"/>
        <v>10559.854569240468</v>
      </c>
      <c r="AG3" s="440">
        <f t="shared" ca="1" si="0"/>
        <v>11629.279962587529</v>
      </c>
      <c r="AH3" s="440">
        <f t="shared" ca="1" si="0"/>
        <v>10532.235583610345</v>
      </c>
      <c r="AI3" s="440">
        <f t="shared" ca="1" si="0"/>
        <v>5460.7721154818983</v>
      </c>
      <c r="AJ3" s="440">
        <f t="shared" ca="1" si="0"/>
        <v>16008.82616674625</v>
      </c>
      <c r="AK3" s="440">
        <f t="shared" ca="1" si="0"/>
        <v>0</v>
      </c>
      <c r="AL3" s="440">
        <f t="shared" ca="1" si="0"/>
        <v>0</v>
      </c>
      <c r="AN3" s="440">
        <f ca="1">SUBTOTAL(9,AN7:AN254)</f>
        <v>52200.311884100745</v>
      </c>
      <c r="AO3" s="441">
        <f ca="1">SUBTOTAL(9,AO7:AO254)</f>
        <v>6458.9780309890093</v>
      </c>
      <c r="AP3" s="440">
        <f ca="1">SUBTOTAL(9,AP7:AP254)</f>
        <v>233783.44530451862</v>
      </c>
    </row>
    <row r="4" spans="1:43" s="9" customFormat="1" hidden="1" outlineLevel="1" x14ac:dyDescent="0.3">
      <c r="C4" s="332"/>
      <c r="D4" s="299"/>
      <c r="F4" s="391"/>
      <c r="G4" s="391"/>
      <c r="S4" s="394" t="s">
        <v>685</v>
      </c>
      <c r="T4" s="193"/>
      <c r="U4" s="394" t="str">
        <f>"Cost for "&amp;Q_prototype&amp;" prototypes"</f>
        <v>Cost for 2 prototypes</v>
      </c>
      <c r="AC4" s="412"/>
      <c r="AD4" s="412"/>
      <c r="AE4" s="412"/>
      <c r="AF4" s="412"/>
      <c r="AG4" s="412"/>
      <c r="AH4" s="412"/>
      <c r="AI4" s="412"/>
      <c r="AJ4" s="412"/>
      <c r="AK4" s="412"/>
      <c r="AL4" s="412"/>
      <c r="AN4" s="83"/>
      <c r="AO4" s="429"/>
      <c r="AP4" s="395"/>
    </row>
    <row r="5" spans="1:43" s="9" customFormat="1" hidden="1" outlineLevel="1" x14ac:dyDescent="0.3">
      <c r="C5" s="332"/>
      <c r="D5" s="299"/>
      <c r="H5" s="391"/>
      <c r="I5" s="386" t="s">
        <v>592</v>
      </c>
      <c r="J5" s="386"/>
      <c r="K5" s="386"/>
      <c r="L5" s="386"/>
      <c r="M5" s="386"/>
      <c r="N5" s="386"/>
      <c r="O5" s="391"/>
      <c r="P5" s="384" t="s">
        <v>419</v>
      </c>
      <c r="Q5" s="391"/>
      <c r="R5" s="392"/>
      <c r="S5" s="393" t="s">
        <v>686</v>
      </c>
      <c r="T5" s="392"/>
      <c r="U5" s="393" t="s">
        <v>689</v>
      </c>
      <c r="V5" s="332"/>
      <c r="X5" s="332"/>
      <c r="Z5" s="412"/>
      <c r="AA5" s="412"/>
      <c r="AB5" s="412"/>
      <c r="AC5" s="412"/>
      <c r="AD5" s="412"/>
      <c r="AE5" s="412"/>
      <c r="AF5" s="412"/>
      <c r="AG5" s="412"/>
      <c r="AH5" s="412"/>
      <c r="AI5" s="412"/>
      <c r="AJ5" s="412"/>
      <c r="AK5" s="412"/>
      <c r="AL5" s="412"/>
      <c r="AN5" s="83"/>
      <c r="AO5" s="430"/>
      <c r="AP5" s="393"/>
    </row>
    <row r="6" spans="1:43" s="423" customFormat="1" ht="32.25" customHeight="1" collapsed="1" x14ac:dyDescent="0.3">
      <c r="A6" s="423" t="s">
        <v>542</v>
      </c>
      <c r="B6" s="423" t="s">
        <v>185</v>
      </c>
      <c r="C6" s="424" t="s">
        <v>691</v>
      </c>
      <c r="E6" s="425"/>
      <c r="F6" s="425"/>
      <c r="G6" s="425"/>
      <c r="H6" s="426"/>
      <c r="I6" s="387"/>
      <c r="J6" s="387"/>
      <c r="K6" s="387"/>
      <c r="L6" s="388"/>
      <c r="M6" s="388"/>
      <c r="N6" s="389" t="s">
        <v>591</v>
      </c>
      <c r="O6" s="390">
        <v>12</v>
      </c>
      <c r="P6" s="390">
        <v>60</v>
      </c>
      <c r="Q6" s="390">
        <v>150</v>
      </c>
      <c r="R6" s="642" t="s">
        <v>404</v>
      </c>
      <c r="S6" s="640">
        <f ca="1">wing_area</f>
        <v>12</v>
      </c>
      <c r="T6" s="642" t="s">
        <v>395</v>
      </c>
      <c r="U6" s="641">
        <f>Q_prototype</f>
        <v>2</v>
      </c>
      <c r="V6" s="424"/>
      <c r="W6" s="427" t="s">
        <v>281</v>
      </c>
      <c r="X6" s="424"/>
      <c r="Y6" s="493">
        <v>43831</v>
      </c>
      <c r="Z6" s="427">
        <f t="shared" ref="Z6:AL6" si="1">EDATE(Y6,6)</f>
        <v>44013</v>
      </c>
      <c r="AA6" s="427">
        <f t="shared" si="1"/>
        <v>44197</v>
      </c>
      <c r="AB6" s="427">
        <f t="shared" si="1"/>
        <v>44378</v>
      </c>
      <c r="AC6" s="427">
        <f t="shared" si="1"/>
        <v>44562</v>
      </c>
      <c r="AD6" s="427">
        <f t="shared" si="1"/>
        <v>44743</v>
      </c>
      <c r="AE6" s="427">
        <f t="shared" si="1"/>
        <v>44927</v>
      </c>
      <c r="AF6" s="427">
        <f t="shared" si="1"/>
        <v>45108</v>
      </c>
      <c r="AG6" s="427">
        <f t="shared" si="1"/>
        <v>45292</v>
      </c>
      <c r="AH6" s="427">
        <f t="shared" si="1"/>
        <v>45474</v>
      </c>
      <c r="AI6" s="427">
        <f t="shared" si="1"/>
        <v>45658</v>
      </c>
      <c r="AJ6" s="427">
        <f t="shared" si="1"/>
        <v>45839</v>
      </c>
      <c r="AK6" s="427">
        <f t="shared" si="1"/>
        <v>46023</v>
      </c>
      <c r="AL6" s="427">
        <f t="shared" si="1"/>
        <v>46204</v>
      </c>
      <c r="AM6" s="26"/>
      <c r="AN6" s="428" t="s">
        <v>415</v>
      </c>
      <c r="AO6" s="428" t="s">
        <v>711</v>
      </c>
      <c r="AP6" s="428" t="s">
        <v>305</v>
      </c>
    </row>
    <row r="7" spans="1:43" s="9" customFormat="1" x14ac:dyDescent="0.3">
      <c r="C7" s="332"/>
      <c r="D7" s="139"/>
      <c r="R7" s="267"/>
      <c r="S7" s="264"/>
      <c r="T7" s="267"/>
      <c r="U7" s="264"/>
      <c r="W7" s="26"/>
      <c r="AN7" s="241"/>
      <c r="AO7" s="406"/>
      <c r="AP7" s="264"/>
    </row>
    <row r="8" spans="1:43" ht="16.5" hidden="1" outlineLevel="1" x14ac:dyDescent="0.3">
      <c r="B8" s="26" t="s">
        <v>185</v>
      </c>
      <c r="C8" s="27">
        <v>9</v>
      </c>
      <c r="D8" s="129" t="s">
        <v>695</v>
      </c>
      <c r="E8" s="289" t="s">
        <v>579</v>
      </c>
      <c r="F8" s="171"/>
      <c r="G8" s="171"/>
      <c r="L8" s="26"/>
      <c r="M8" s="26"/>
      <c r="N8" s="26"/>
      <c r="O8" s="27" t="s">
        <v>690</v>
      </c>
      <c r="P8" s="27" t="s">
        <v>690</v>
      </c>
      <c r="Q8" s="27" t="s">
        <v>690</v>
      </c>
      <c r="R8" s="27" t="s">
        <v>307</v>
      </c>
      <c r="S8" s="27" t="s">
        <v>690</v>
      </c>
      <c r="T8" s="27" t="s">
        <v>307</v>
      </c>
      <c r="U8" s="27" t="s">
        <v>690</v>
      </c>
      <c r="V8" s="26"/>
      <c r="X8" s="26"/>
      <c r="Y8" s="26"/>
      <c r="AN8" s="27"/>
    </row>
    <row r="9" spans="1:43" hidden="1" outlineLevel="1" x14ac:dyDescent="0.3">
      <c r="C9"/>
      <c r="D9" s="139"/>
      <c r="E9" s="173"/>
      <c r="I9" s="451" t="s">
        <v>590</v>
      </c>
      <c r="L9" s="26"/>
      <c r="M9" s="26"/>
      <c r="N9" s="26"/>
      <c r="O9" s="27"/>
      <c r="P9" s="167"/>
      <c r="Q9" s="27"/>
      <c r="V9" s="27"/>
      <c r="X9" s="27"/>
      <c r="Y9" s="26"/>
    </row>
    <row r="10" spans="1:43" hidden="1" outlineLevel="1" x14ac:dyDescent="0.3">
      <c r="A10" s="26" t="s">
        <v>574</v>
      </c>
      <c r="B10" s="26" t="s">
        <v>185</v>
      </c>
      <c r="C10" s="27">
        <v>1</v>
      </c>
      <c r="D10" s="129" t="s">
        <v>695</v>
      </c>
      <c r="E10" s="281" t="s">
        <v>566</v>
      </c>
      <c r="F10" s="128"/>
      <c r="G10" s="128"/>
      <c r="H10" s="128"/>
      <c r="I10" s="131">
        <v>1494</v>
      </c>
      <c r="L10" s="26"/>
      <c r="M10" s="26"/>
      <c r="N10" s="643" t="s">
        <v>309</v>
      </c>
      <c r="O10" s="132">
        <f t="array" ref="O10">I10/whpy</f>
        <v>0.86860465116279073</v>
      </c>
      <c r="P10" s="255">
        <v>3</v>
      </c>
      <c r="Q10" s="258">
        <f t="shared" ref="Q10:Q19" si="2">P10</f>
        <v>3</v>
      </c>
      <c r="R10" s="268">
        <f t="shared" ref="R10:R20" si="3" xml:space="preserve"> 10^(LOG(Q10/P10)/LOG(Q$6/P$6)-1)</f>
        <v>0.1</v>
      </c>
      <c r="S10" s="32">
        <f ca="1">P10*(10*R10)^LOG(wing_area/ref_wing_area)</f>
        <v>3</v>
      </c>
      <c r="T10" s="398">
        <v>0.1</v>
      </c>
      <c r="U10" s="32">
        <f t="shared" ref="U10:U19" ca="1" si="4">S10*(10*T10)^LOG(Q_prototype)</f>
        <v>3</v>
      </c>
      <c r="V10" s="27"/>
      <c r="W10" s="26" t="s">
        <v>704</v>
      </c>
      <c r="X10" s="27"/>
      <c r="Y10" s="413"/>
      <c r="Z10" s="413">
        <f t="shared" ref="Z10:AB19" si="5">1/3</f>
        <v>0.33333333333333331</v>
      </c>
      <c r="AA10" s="413">
        <f t="shared" si="5"/>
        <v>0.33333333333333331</v>
      </c>
      <c r="AB10" s="413">
        <f t="shared" si="5"/>
        <v>0.33333333333333331</v>
      </c>
      <c r="AC10" s="413"/>
      <c r="AD10" s="413"/>
      <c r="AE10" s="413"/>
      <c r="AF10" s="413"/>
      <c r="AG10" s="413"/>
      <c r="AH10" s="413"/>
      <c r="AI10" s="413"/>
      <c r="AJ10" s="413"/>
      <c r="AK10" s="413"/>
      <c r="AL10" s="413"/>
      <c r="AN10" s="408">
        <f t="shared" ref="AN10:AN73" si="6">SUM(Y10:AM10)</f>
        <v>1</v>
      </c>
      <c r="AO10" s="251">
        <f ca="1">AN10*U10</f>
        <v>3</v>
      </c>
      <c r="AP10" s="32">
        <f t="shared" ref="AP10:AP19" ca="1" si="7">AO10*average_wage*(1+employer_contributions)</f>
        <v>180</v>
      </c>
      <c r="AQ10" s="260">
        <f ca="1">AP10-U10</f>
        <v>177</v>
      </c>
    </row>
    <row r="11" spans="1:43" hidden="1" outlineLevel="1" x14ac:dyDescent="0.3">
      <c r="A11" s="26" t="s">
        <v>574</v>
      </c>
      <c r="B11" s="26" t="s">
        <v>185</v>
      </c>
      <c r="C11" s="27">
        <v>1</v>
      </c>
      <c r="D11" s="129" t="s">
        <v>695</v>
      </c>
      <c r="E11" s="281" t="s">
        <v>558</v>
      </c>
      <c r="F11" s="128"/>
      <c r="G11" s="128"/>
      <c r="H11" s="128"/>
      <c r="I11" s="131">
        <v>15068.61</v>
      </c>
      <c r="J11" s="130"/>
      <c r="K11" s="130"/>
      <c r="L11" s="130"/>
      <c r="M11" s="130"/>
      <c r="N11" s="643" t="s">
        <v>310</v>
      </c>
      <c r="O11" s="132">
        <f t="array" ref="O11">I11/whpy</f>
        <v>8.7608197674418609</v>
      </c>
      <c r="P11" s="255">
        <v>10</v>
      </c>
      <c r="Q11" s="258">
        <f t="shared" si="2"/>
        <v>10</v>
      </c>
      <c r="R11" s="268">
        <f t="shared" si="3"/>
        <v>0.1</v>
      </c>
      <c r="S11" s="32">
        <v>10</v>
      </c>
      <c r="T11" s="398">
        <v>0.1</v>
      </c>
      <c r="U11" s="32">
        <f t="shared" si="4"/>
        <v>10</v>
      </c>
      <c r="V11" s="27"/>
      <c r="W11" s="26" t="s">
        <v>704</v>
      </c>
      <c r="X11" s="27"/>
      <c r="Y11" s="413"/>
      <c r="Z11" s="413">
        <f t="shared" si="5"/>
        <v>0.33333333333333331</v>
      </c>
      <c r="AA11" s="413">
        <f t="shared" si="5"/>
        <v>0.33333333333333331</v>
      </c>
      <c r="AB11" s="413">
        <f t="shared" si="5"/>
        <v>0.33333333333333331</v>
      </c>
      <c r="AC11" s="413"/>
      <c r="AD11" s="413"/>
      <c r="AE11" s="413"/>
      <c r="AF11" s="413"/>
      <c r="AG11" s="413"/>
      <c r="AH11" s="413"/>
      <c r="AI11" s="413"/>
      <c r="AJ11" s="413"/>
      <c r="AK11" s="413"/>
      <c r="AL11" s="413"/>
      <c r="AN11" s="408">
        <f t="shared" si="6"/>
        <v>1</v>
      </c>
      <c r="AO11" s="251">
        <f t="shared" ref="AO11:AO19" si="8">AN11*U11</f>
        <v>10</v>
      </c>
      <c r="AP11" s="32">
        <f t="shared" ca="1" si="7"/>
        <v>600</v>
      </c>
      <c r="AQ11" s="260">
        <f ca="1">AP11-U11</f>
        <v>590</v>
      </c>
    </row>
    <row r="12" spans="1:43" hidden="1" outlineLevel="1" x14ac:dyDescent="0.3">
      <c r="A12" s="26" t="s">
        <v>574</v>
      </c>
      <c r="B12" s="26" t="s">
        <v>185</v>
      </c>
      <c r="C12" s="27">
        <v>1</v>
      </c>
      <c r="D12" s="129" t="s">
        <v>695</v>
      </c>
      <c r="E12" s="281" t="s">
        <v>567</v>
      </c>
      <c r="F12" s="128"/>
      <c r="G12" s="128"/>
      <c r="H12" s="128"/>
      <c r="I12" s="131">
        <v>5572.36</v>
      </c>
      <c r="J12" s="130"/>
      <c r="K12" s="130"/>
      <c r="L12" s="130"/>
      <c r="M12" s="130"/>
      <c r="N12" s="643" t="s">
        <v>473</v>
      </c>
      <c r="O12" s="132">
        <f t="array" ref="O12">I12/whpy</f>
        <v>3.2397441860465115</v>
      </c>
      <c r="P12" s="483">
        <v>3</v>
      </c>
      <c r="Q12" s="258">
        <f t="shared" si="2"/>
        <v>3</v>
      </c>
      <c r="R12" s="268">
        <f t="shared" si="3"/>
        <v>0.1</v>
      </c>
      <c r="S12" s="32">
        <f t="shared" ref="S12:S19" ca="1" si="9">P12*(10*R12)^LOG(wing_area/ref_wing_area)</f>
        <v>3</v>
      </c>
      <c r="T12" s="398">
        <v>0.1</v>
      </c>
      <c r="U12" s="32">
        <f t="shared" ca="1" si="4"/>
        <v>3</v>
      </c>
      <c r="V12" s="27"/>
      <c r="W12" s="26" t="s">
        <v>704</v>
      </c>
      <c r="X12" s="27"/>
      <c r="Y12" s="413"/>
      <c r="Z12" s="413">
        <f t="shared" si="5"/>
        <v>0.33333333333333331</v>
      </c>
      <c r="AA12" s="413">
        <f t="shared" si="5"/>
        <v>0.33333333333333331</v>
      </c>
      <c r="AB12" s="413">
        <f t="shared" si="5"/>
        <v>0.33333333333333331</v>
      </c>
      <c r="AC12" s="413"/>
      <c r="AD12" s="413"/>
      <c r="AE12" s="413"/>
      <c r="AF12" s="413"/>
      <c r="AG12" s="413"/>
      <c r="AH12" s="413"/>
      <c r="AI12" s="413"/>
      <c r="AJ12" s="413"/>
      <c r="AK12" s="413"/>
      <c r="AL12" s="413"/>
      <c r="AN12" s="408">
        <f t="shared" si="6"/>
        <v>1</v>
      </c>
      <c r="AO12" s="251">
        <f t="shared" ca="1" si="8"/>
        <v>3</v>
      </c>
      <c r="AP12" s="32">
        <f t="shared" ca="1" si="7"/>
        <v>180</v>
      </c>
      <c r="AQ12" s="260">
        <f ca="1">AP12-U12</f>
        <v>177</v>
      </c>
    </row>
    <row r="13" spans="1:43" hidden="1" outlineLevel="1" x14ac:dyDescent="0.3">
      <c r="A13" s="26" t="s">
        <v>574</v>
      </c>
      <c r="B13" s="26" t="s">
        <v>185</v>
      </c>
      <c r="C13" s="27">
        <v>1</v>
      </c>
      <c r="D13" s="129" t="s">
        <v>695</v>
      </c>
      <c r="E13" s="281" t="s">
        <v>311</v>
      </c>
      <c r="F13" s="128"/>
      <c r="G13" s="128"/>
      <c r="H13" s="128"/>
      <c r="I13" s="131">
        <v>4631.7100000000009</v>
      </c>
      <c r="J13" s="130"/>
      <c r="K13" s="130"/>
      <c r="L13" s="130"/>
      <c r="M13" s="130"/>
      <c r="N13" s="643" t="s">
        <v>312</v>
      </c>
      <c r="O13" s="132">
        <f t="array" ref="O13">I13/whpy</f>
        <v>2.6928546511627913</v>
      </c>
      <c r="P13" s="255">
        <v>1.5</v>
      </c>
      <c r="Q13" s="258">
        <f t="shared" si="2"/>
        <v>1.5</v>
      </c>
      <c r="R13" s="268">
        <f t="shared" si="3"/>
        <v>0.1</v>
      </c>
      <c r="S13" s="32">
        <f t="shared" ca="1" si="9"/>
        <v>1.5</v>
      </c>
      <c r="T13" s="398">
        <v>0.1</v>
      </c>
      <c r="U13" s="32">
        <f t="shared" ca="1" si="4"/>
        <v>1.5</v>
      </c>
      <c r="V13" s="27"/>
      <c r="W13" s="26" t="s">
        <v>704</v>
      </c>
      <c r="X13" s="27"/>
      <c r="Y13" s="413"/>
      <c r="Z13" s="413">
        <f t="shared" si="5"/>
        <v>0.33333333333333331</v>
      </c>
      <c r="AA13" s="413">
        <f t="shared" si="5"/>
        <v>0.33333333333333331</v>
      </c>
      <c r="AB13" s="413">
        <f t="shared" si="5"/>
        <v>0.33333333333333331</v>
      </c>
      <c r="AC13" s="413"/>
      <c r="AD13" s="413"/>
      <c r="AE13" s="413"/>
      <c r="AF13" s="413"/>
      <c r="AG13" s="413"/>
      <c r="AH13" s="413"/>
      <c r="AI13" s="413"/>
      <c r="AJ13" s="413"/>
      <c r="AK13" s="413"/>
      <c r="AL13" s="413"/>
      <c r="AN13" s="408">
        <f t="shared" si="6"/>
        <v>1</v>
      </c>
      <c r="AO13" s="251">
        <f t="shared" ca="1" si="8"/>
        <v>1.5</v>
      </c>
      <c r="AP13" s="32">
        <f t="shared" ca="1" si="7"/>
        <v>90</v>
      </c>
      <c r="AQ13" s="260">
        <f t="shared" ref="AQ13:AQ76" ca="1" si="10">AP13-U13</f>
        <v>88.5</v>
      </c>
    </row>
    <row r="14" spans="1:43" hidden="1" outlineLevel="1" x14ac:dyDescent="0.3">
      <c r="A14" s="26" t="s">
        <v>574</v>
      </c>
      <c r="B14" s="26" t="s">
        <v>185</v>
      </c>
      <c r="C14" s="27">
        <v>1</v>
      </c>
      <c r="D14" s="129" t="s">
        <v>695</v>
      </c>
      <c r="E14" s="281" t="s">
        <v>313</v>
      </c>
      <c r="F14" s="128"/>
      <c r="G14" s="128"/>
      <c r="H14" s="128"/>
      <c r="I14" s="131">
        <v>9148.1200000000008</v>
      </c>
      <c r="J14" s="130"/>
      <c r="K14" s="130"/>
      <c r="L14" s="130"/>
      <c r="M14" s="130"/>
      <c r="N14" s="643" t="s">
        <v>314</v>
      </c>
      <c r="O14" s="132">
        <f t="array" ref="O14">I14/whpy</f>
        <v>5.318674418604652</v>
      </c>
      <c r="P14" s="255">
        <v>3</v>
      </c>
      <c r="Q14" s="258">
        <f t="shared" si="2"/>
        <v>3</v>
      </c>
      <c r="R14" s="268">
        <f t="shared" si="3"/>
        <v>0.1</v>
      </c>
      <c r="S14" s="32">
        <f t="shared" ca="1" si="9"/>
        <v>3</v>
      </c>
      <c r="T14" s="398">
        <v>0.1</v>
      </c>
      <c r="U14" s="32">
        <f t="shared" ca="1" si="4"/>
        <v>3</v>
      </c>
      <c r="V14" s="27"/>
      <c r="W14" s="26" t="s">
        <v>704</v>
      </c>
      <c r="X14" s="27"/>
      <c r="Y14" s="413"/>
      <c r="Z14" s="413">
        <f t="shared" si="5"/>
        <v>0.33333333333333331</v>
      </c>
      <c r="AA14" s="413">
        <f t="shared" si="5"/>
        <v>0.33333333333333331</v>
      </c>
      <c r="AB14" s="413">
        <f t="shared" si="5"/>
        <v>0.33333333333333331</v>
      </c>
      <c r="AC14" s="413"/>
      <c r="AD14" s="413"/>
      <c r="AE14" s="413"/>
      <c r="AF14" s="413"/>
      <c r="AG14" s="413"/>
      <c r="AH14" s="413"/>
      <c r="AI14" s="413"/>
      <c r="AJ14" s="413"/>
      <c r="AK14" s="413"/>
      <c r="AL14" s="413"/>
      <c r="AN14" s="408">
        <f t="shared" si="6"/>
        <v>1</v>
      </c>
      <c r="AO14" s="251">
        <f t="shared" ca="1" si="8"/>
        <v>3</v>
      </c>
      <c r="AP14" s="32">
        <f t="shared" ca="1" si="7"/>
        <v>180</v>
      </c>
      <c r="AQ14" s="260">
        <f t="shared" ca="1" si="10"/>
        <v>177</v>
      </c>
    </row>
    <row r="15" spans="1:43" hidden="1" outlineLevel="1" x14ac:dyDescent="0.3">
      <c r="A15" s="26" t="s">
        <v>574</v>
      </c>
      <c r="B15" s="26" t="s">
        <v>185</v>
      </c>
      <c r="C15" s="27">
        <v>1</v>
      </c>
      <c r="D15" s="129" t="s">
        <v>695</v>
      </c>
      <c r="E15" s="281" t="s">
        <v>315</v>
      </c>
      <c r="F15" s="128"/>
      <c r="G15" s="128"/>
      <c r="H15" s="128"/>
      <c r="I15" s="131">
        <f>2211+3635</f>
        <v>5846</v>
      </c>
      <c r="J15" s="130"/>
      <c r="K15" s="130"/>
      <c r="L15" s="130"/>
      <c r="M15" s="130"/>
      <c r="N15" s="643" t="s">
        <v>316</v>
      </c>
      <c r="O15" s="132">
        <f t="array" ref="O15">I15/whpy</f>
        <v>3.3988372093023256</v>
      </c>
      <c r="P15" s="255">
        <v>1</v>
      </c>
      <c r="Q15" s="258">
        <f t="shared" si="2"/>
        <v>1</v>
      </c>
      <c r="R15" s="268">
        <f t="shared" si="3"/>
        <v>0.1</v>
      </c>
      <c r="S15" s="32">
        <f t="shared" ca="1" si="9"/>
        <v>1</v>
      </c>
      <c r="T15" s="398">
        <v>0.1</v>
      </c>
      <c r="U15" s="32">
        <f t="shared" ca="1" si="4"/>
        <v>1</v>
      </c>
      <c r="V15" s="27"/>
      <c r="W15" s="26" t="s">
        <v>704</v>
      </c>
      <c r="X15" s="27"/>
      <c r="Y15" s="413"/>
      <c r="Z15" s="413">
        <f t="shared" si="5"/>
        <v>0.33333333333333331</v>
      </c>
      <c r="AA15" s="413">
        <f t="shared" si="5"/>
        <v>0.33333333333333331</v>
      </c>
      <c r="AB15" s="413">
        <f t="shared" si="5"/>
        <v>0.33333333333333331</v>
      </c>
      <c r="AC15" s="413"/>
      <c r="AD15" s="413"/>
      <c r="AE15" s="413"/>
      <c r="AF15" s="413"/>
      <c r="AG15" s="413"/>
      <c r="AH15" s="413"/>
      <c r="AI15" s="413"/>
      <c r="AJ15" s="413"/>
      <c r="AK15" s="413"/>
      <c r="AL15" s="413"/>
      <c r="AM15" s="193"/>
      <c r="AN15" s="408">
        <f t="shared" si="6"/>
        <v>1</v>
      </c>
      <c r="AO15" s="251">
        <f t="shared" ca="1" si="8"/>
        <v>1</v>
      </c>
      <c r="AP15" s="32">
        <f t="shared" ca="1" si="7"/>
        <v>60</v>
      </c>
      <c r="AQ15" s="260">
        <f t="shared" ca="1" si="10"/>
        <v>59</v>
      </c>
    </row>
    <row r="16" spans="1:43" hidden="1" outlineLevel="1" x14ac:dyDescent="0.3">
      <c r="A16" s="26" t="s">
        <v>574</v>
      </c>
      <c r="B16" s="26" t="s">
        <v>185</v>
      </c>
      <c r="C16" s="27">
        <v>1</v>
      </c>
      <c r="D16" s="129" t="s">
        <v>695</v>
      </c>
      <c r="E16" s="281" t="s">
        <v>317</v>
      </c>
      <c r="F16" s="128"/>
      <c r="G16" s="128"/>
      <c r="H16" s="128"/>
      <c r="I16" s="131">
        <f>9543.17+695+241+546+291</f>
        <v>11316.17</v>
      </c>
      <c r="J16" s="130"/>
      <c r="K16" s="130"/>
      <c r="L16" s="130"/>
      <c r="M16" s="130"/>
      <c r="N16" s="643" t="s">
        <v>318</v>
      </c>
      <c r="O16" s="132">
        <f t="array" ref="O16">I16/whpy</f>
        <v>6.579168604651163</v>
      </c>
      <c r="P16" s="255">
        <v>1</v>
      </c>
      <c r="Q16" s="258">
        <f t="shared" si="2"/>
        <v>1</v>
      </c>
      <c r="R16" s="268">
        <f t="shared" si="3"/>
        <v>0.1</v>
      </c>
      <c r="S16" s="32">
        <f t="shared" ca="1" si="9"/>
        <v>1</v>
      </c>
      <c r="T16" s="398">
        <v>0.1</v>
      </c>
      <c r="U16" s="32">
        <f t="shared" ca="1" si="4"/>
        <v>1</v>
      </c>
      <c r="V16" s="27"/>
      <c r="W16" s="26" t="s">
        <v>704</v>
      </c>
      <c r="X16" s="27"/>
      <c r="Y16" s="413"/>
      <c r="Z16" s="413">
        <f t="shared" si="5"/>
        <v>0.33333333333333331</v>
      </c>
      <c r="AA16" s="413">
        <f t="shared" si="5"/>
        <v>0.33333333333333331</v>
      </c>
      <c r="AB16" s="413">
        <f t="shared" si="5"/>
        <v>0.33333333333333331</v>
      </c>
      <c r="AC16" s="413"/>
      <c r="AD16" s="413"/>
      <c r="AE16" s="413"/>
      <c r="AF16" s="413"/>
      <c r="AG16" s="413"/>
      <c r="AH16" s="413"/>
      <c r="AI16" s="413"/>
      <c r="AJ16" s="413"/>
      <c r="AK16" s="413"/>
      <c r="AL16" s="413"/>
      <c r="AM16" s="193"/>
      <c r="AN16" s="408">
        <f t="shared" si="6"/>
        <v>1</v>
      </c>
      <c r="AO16" s="251">
        <f t="shared" ca="1" si="8"/>
        <v>1</v>
      </c>
      <c r="AP16" s="32">
        <f t="shared" ca="1" si="7"/>
        <v>60</v>
      </c>
      <c r="AQ16" s="260">
        <f t="shared" ca="1" si="10"/>
        <v>59</v>
      </c>
    </row>
    <row r="17" spans="1:43" hidden="1" outlineLevel="1" x14ac:dyDescent="0.3">
      <c r="A17" s="26" t="s">
        <v>574</v>
      </c>
      <c r="B17" s="26" t="s">
        <v>185</v>
      </c>
      <c r="C17" s="27">
        <v>1</v>
      </c>
      <c r="D17" s="129" t="s">
        <v>695</v>
      </c>
      <c r="E17" s="281" t="s">
        <v>319</v>
      </c>
      <c r="F17" s="128"/>
      <c r="G17" s="128"/>
      <c r="H17" s="128"/>
      <c r="I17" s="131">
        <f>2749.47+43</f>
        <v>2792.47</v>
      </c>
      <c r="J17" s="130"/>
      <c r="K17" s="130"/>
      <c r="L17" s="130"/>
      <c r="M17" s="130"/>
      <c r="N17" s="643" t="s">
        <v>320</v>
      </c>
      <c r="O17" s="132">
        <f t="array" ref="O17">I17/whpy</f>
        <v>1.6235290697674418</v>
      </c>
      <c r="P17" s="255">
        <v>1</v>
      </c>
      <c r="Q17" s="258">
        <f t="shared" si="2"/>
        <v>1</v>
      </c>
      <c r="R17" s="268">
        <f t="shared" si="3"/>
        <v>0.1</v>
      </c>
      <c r="S17" s="32">
        <f t="shared" ca="1" si="9"/>
        <v>1</v>
      </c>
      <c r="T17" s="398">
        <v>0.1</v>
      </c>
      <c r="U17" s="32">
        <f t="shared" ca="1" si="4"/>
        <v>1</v>
      </c>
      <c r="V17" s="27"/>
      <c r="W17" s="26" t="s">
        <v>704</v>
      </c>
      <c r="X17" s="27"/>
      <c r="Y17" s="413"/>
      <c r="Z17" s="413">
        <f t="shared" si="5"/>
        <v>0.33333333333333331</v>
      </c>
      <c r="AA17" s="413">
        <f t="shared" si="5"/>
        <v>0.33333333333333331</v>
      </c>
      <c r="AB17" s="413">
        <f t="shared" si="5"/>
        <v>0.33333333333333331</v>
      </c>
      <c r="AC17" s="413"/>
      <c r="AD17" s="413"/>
      <c r="AE17" s="413"/>
      <c r="AF17" s="413"/>
      <c r="AG17" s="413"/>
      <c r="AH17" s="413"/>
      <c r="AI17" s="413"/>
      <c r="AJ17" s="413"/>
      <c r="AK17" s="413"/>
      <c r="AL17" s="413"/>
      <c r="AM17" s="193"/>
      <c r="AN17" s="408">
        <f t="shared" si="6"/>
        <v>1</v>
      </c>
      <c r="AO17" s="251">
        <f t="shared" ca="1" si="8"/>
        <v>1</v>
      </c>
      <c r="AP17" s="32">
        <f t="shared" ca="1" si="7"/>
        <v>60</v>
      </c>
      <c r="AQ17" s="260">
        <f t="shared" ca="1" si="10"/>
        <v>59</v>
      </c>
    </row>
    <row r="18" spans="1:43" hidden="1" outlineLevel="1" x14ac:dyDescent="0.3">
      <c r="A18" s="26" t="s">
        <v>574</v>
      </c>
      <c r="B18" s="26" t="s">
        <v>185</v>
      </c>
      <c r="C18" s="27">
        <v>1</v>
      </c>
      <c r="D18" s="129" t="s">
        <v>695</v>
      </c>
      <c r="E18" s="281" t="s">
        <v>321</v>
      </c>
      <c r="F18" s="128"/>
      <c r="G18" s="128"/>
      <c r="H18" s="128"/>
      <c r="I18" s="131">
        <f>4502.61+45</f>
        <v>4547.6099999999997</v>
      </c>
      <c r="J18" s="130"/>
      <c r="K18" s="130"/>
      <c r="L18" s="130"/>
      <c r="M18" s="130"/>
      <c r="N18" s="643" t="s">
        <v>312</v>
      </c>
      <c r="O18" s="132">
        <f t="array" ref="O18">I18/whpy</f>
        <v>2.6439593023255812</v>
      </c>
      <c r="P18" s="255">
        <v>1</v>
      </c>
      <c r="Q18" s="258">
        <f t="shared" si="2"/>
        <v>1</v>
      </c>
      <c r="R18" s="268">
        <f t="shared" si="3"/>
        <v>0.1</v>
      </c>
      <c r="S18" s="32">
        <f t="shared" ca="1" si="9"/>
        <v>1</v>
      </c>
      <c r="T18" s="398">
        <v>0.1</v>
      </c>
      <c r="U18" s="32">
        <f t="shared" ca="1" si="4"/>
        <v>1</v>
      </c>
      <c r="V18" s="27"/>
      <c r="W18" s="26" t="s">
        <v>704</v>
      </c>
      <c r="X18" s="27"/>
      <c r="Y18" s="413"/>
      <c r="Z18" s="413">
        <f t="shared" si="5"/>
        <v>0.33333333333333331</v>
      </c>
      <c r="AA18" s="413">
        <f t="shared" si="5"/>
        <v>0.33333333333333331</v>
      </c>
      <c r="AB18" s="413">
        <f t="shared" si="5"/>
        <v>0.33333333333333331</v>
      </c>
      <c r="AC18" s="413"/>
      <c r="AD18" s="413"/>
      <c r="AE18" s="413"/>
      <c r="AF18" s="413"/>
      <c r="AG18" s="413"/>
      <c r="AH18" s="413"/>
      <c r="AI18" s="413"/>
      <c r="AJ18" s="413"/>
      <c r="AK18" s="413"/>
      <c r="AL18" s="413"/>
      <c r="AM18" s="193"/>
      <c r="AN18" s="408">
        <f t="shared" si="6"/>
        <v>1</v>
      </c>
      <c r="AO18" s="251">
        <f t="shared" ca="1" si="8"/>
        <v>1</v>
      </c>
      <c r="AP18" s="32">
        <f t="shared" ca="1" si="7"/>
        <v>60</v>
      </c>
      <c r="AQ18" s="260">
        <f t="shared" ca="1" si="10"/>
        <v>59</v>
      </c>
    </row>
    <row r="19" spans="1:43" hidden="1" outlineLevel="1" x14ac:dyDescent="0.3">
      <c r="A19" s="26" t="s">
        <v>574</v>
      </c>
      <c r="B19" s="26" t="s">
        <v>185</v>
      </c>
      <c r="C19" s="27">
        <v>1</v>
      </c>
      <c r="D19" s="129" t="s">
        <v>695</v>
      </c>
      <c r="E19" s="282" t="s">
        <v>322</v>
      </c>
      <c r="F19" s="141"/>
      <c r="G19" s="141"/>
      <c r="H19" s="141"/>
      <c r="I19" s="184">
        <v>5038.51</v>
      </c>
      <c r="J19" s="256"/>
      <c r="K19" s="256"/>
      <c r="L19" s="256"/>
      <c r="M19" s="256"/>
      <c r="N19" s="644" t="s">
        <v>323</v>
      </c>
      <c r="O19" s="185">
        <f t="array" ref="O19">I19/whpy</f>
        <v>2.9293662790697677</v>
      </c>
      <c r="P19" s="254">
        <v>1</v>
      </c>
      <c r="Q19" s="257">
        <f t="shared" si="2"/>
        <v>1</v>
      </c>
      <c r="R19" s="269">
        <f t="shared" si="3"/>
        <v>0.1</v>
      </c>
      <c r="S19" s="265">
        <f t="shared" ca="1" si="9"/>
        <v>1</v>
      </c>
      <c r="T19" s="397">
        <v>0.1</v>
      </c>
      <c r="U19" s="265">
        <f t="shared" ca="1" si="4"/>
        <v>1</v>
      </c>
      <c r="V19" s="27"/>
      <c r="W19" s="26" t="s">
        <v>704</v>
      </c>
      <c r="X19" s="27"/>
      <c r="Y19" s="414"/>
      <c r="Z19" s="414">
        <f t="shared" si="5"/>
        <v>0.33333333333333331</v>
      </c>
      <c r="AA19" s="414">
        <f t="shared" si="5"/>
        <v>0.33333333333333331</v>
      </c>
      <c r="AB19" s="414">
        <f t="shared" si="5"/>
        <v>0.33333333333333331</v>
      </c>
      <c r="AC19" s="414"/>
      <c r="AD19" s="414"/>
      <c r="AE19" s="414"/>
      <c r="AF19" s="414"/>
      <c r="AG19" s="414"/>
      <c r="AH19" s="414"/>
      <c r="AI19" s="414"/>
      <c r="AJ19" s="414"/>
      <c r="AK19" s="414"/>
      <c r="AL19" s="414"/>
      <c r="AM19" s="193"/>
      <c r="AN19" s="409">
        <f t="shared" si="6"/>
        <v>1</v>
      </c>
      <c r="AO19" s="399">
        <f t="shared" ca="1" si="8"/>
        <v>1</v>
      </c>
      <c r="AP19" s="265">
        <f t="shared" ca="1" si="7"/>
        <v>60</v>
      </c>
      <c r="AQ19" s="260">
        <f t="shared" ca="1" si="10"/>
        <v>59</v>
      </c>
    </row>
    <row r="20" spans="1:43" s="260" customFormat="1" collapsed="1" x14ac:dyDescent="0.3">
      <c r="A20" s="26" t="s">
        <v>574</v>
      </c>
      <c r="B20" s="26" t="s">
        <v>185</v>
      </c>
      <c r="C20" s="27">
        <v>2</v>
      </c>
      <c r="D20" s="129" t="s">
        <v>695</v>
      </c>
      <c r="E20" s="279" t="s">
        <v>580</v>
      </c>
      <c r="F20" s="239"/>
      <c r="G20" s="239"/>
      <c r="H20" s="239"/>
      <c r="I20" s="234">
        <f>SUM(I10:I19)</f>
        <v>65455.560000000005</v>
      </c>
      <c r="J20" s="261"/>
      <c r="K20" s="261"/>
      <c r="L20" s="261"/>
      <c r="M20" s="261"/>
      <c r="N20" s="645"/>
      <c r="O20" s="234">
        <f>SUM(O10:O19)</f>
        <v>38.055558139534888</v>
      </c>
      <c r="P20" s="234">
        <f>SUM(P10:P19)</f>
        <v>25.5</v>
      </c>
      <c r="Q20" s="234">
        <f>SUM(Q10:Q19)</f>
        <v>25.5</v>
      </c>
      <c r="R20" s="235">
        <f t="shared" si="3"/>
        <v>0.1</v>
      </c>
      <c r="S20" s="234">
        <f ca="1">SUM(S10:S19)</f>
        <v>25.5</v>
      </c>
      <c r="T20" s="235">
        <f ca="1">IFERROR(10^(LOG(U20/S20)/LOG(Q_prototype)-1),0)</f>
        <v>0.1</v>
      </c>
      <c r="U20" s="234">
        <f ca="1">SUM(U10:U19)</f>
        <v>25.5</v>
      </c>
      <c r="V20" s="140"/>
      <c r="W20" s="260" t="s">
        <v>690</v>
      </c>
      <c r="X20" s="140"/>
      <c r="Y20" s="310">
        <f t="shared" ref="Y20:AL20" ca="1" si="11">SUMPRODUCT($U10:$U19,Y10:Y19)</f>
        <v>0</v>
      </c>
      <c r="Z20" s="310">
        <f t="shared" ca="1" si="11"/>
        <v>8.5</v>
      </c>
      <c r="AA20" s="310">
        <f t="shared" ca="1" si="11"/>
        <v>8.5</v>
      </c>
      <c r="AB20" s="310">
        <f t="shared" ca="1" si="11"/>
        <v>8.5</v>
      </c>
      <c r="AC20" s="310">
        <f t="shared" ca="1" si="11"/>
        <v>0</v>
      </c>
      <c r="AD20" s="310">
        <f t="shared" ca="1" si="11"/>
        <v>0</v>
      </c>
      <c r="AE20" s="310">
        <f t="shared" ca="1" si="11"/>
        <v>0</v>
      </c>
      <c r="AF20" s="310">
        <f t="shared" ca="1" si="11"/>
        <v>0</v>
      </c>
      <c r="AG20" s="310">
        <f t="shared" ca="1" si="11"/>
        <v>0</v>
      </c>
      <c r="AH20" s="310">
        <f t="shared" ca="1" si="11"/>
        <v>0</v>
      </c>
      <c r="AI20" s="310">
        <f t="shared" ca="1" si="11"/>
        <v>0</v>
      </c>
      <c r="AJ20" s="310">
        <f t="shared" ca="1" si="11"/>
        <v>0</v>
      </c>
      <c r="AK20" s="310">
        <f t="shared" ca="1" si="11"/>
        <v>0</v>
      </c>
      <c r="AL20" s="310">
        <f t="shared" ca="1" si="11"/>
        <v>0</v>
      </c>
      <c r="AM20" s="140"/>
      <c r="AN20" s="308">
        <f t="shared" ca="1" si="6"/>
        <v>25.5</v>
      </c>
      <c r="AO20" s="308">
        <f ca="1">SUM(AO10:AO19)</f>
        <v>25.5</v>
      </c>
      <c r="AP20" s="234">
        <f ca="1">SUM(AP10:AP19)</f>
        <v>1530</v>
      </c>
      <c r="AQ20" s="458">
        <f ca="1">AP20-U20*(1+employer_contributions)*average_wage</f>
        <v>0</v>
      </c>
    </row>
    <row r="21" spans="1:43" s="9" customFormat="1" hidden="1" outlineLevel="1" x14ac:dyDescent="0.3">
      <c r="A21" s="26"/>
      <c r="B21" s="26"/>
      <c r="C21"/>
      <c r="D21" s="139"/>
      <c r="E21" s="280"/>
      <c r="N21" s="299"/>
      <c r="R21" s="267"/>
      <c r="S21" s="264"/>
      <c r="T21" s="267"/>
      <c r="U21" s="264"/>
      <c r="W21" s="26"/>
      <c r="Y21" s="385"/>
      <c r="Z21" s="385"/>
      <c r="AA21" s="385"/>
      <c r="AB21" s="385"/>
      <c r="AC21" s="385"/>
      <c r="AD21" s="385"/>
      <c r="AE21" s="385"/>
      <c r="AF21" s="385"/>
      <c r="AG21" s="385"/>
      <c r="AH21" s="385"/>
      <c r="AI21" s="385"/>
      <c r="AJ21" s="385"/>
      <c r="AK21" s="385"/>
      <c r="AL21" s="385"/>
      <c r="AN21" s="241"/>
      <c r="AO21" s="406"/>
      <c r="AP21" s="264"/>
      <c r="AQ21" s="260">
        <f t="shared" si="10"/>
        <v>0</v>
      </c>
    </row>
    <row r="22" spans="1:43" hidden="1" outlineLevel="1" x14ac:dyDescent="0.3">
      <c r="A22" s="26" t="s">
        <v>574</v>
      </c>
      <c r="B22" s="26" t="s">
        <v>185</v>
      </c>
      <c r="C22" s="27">
        <v>1</v>
      </c>
      <c r="D22" s="129" t="s">
        <v>695</v>
      </c>
      <c r="E22" s="281" t="s">
        <v>566</v>
      </c>
      <c r="F22" s="128"/>
      <c r="G22" s="128"/>
      <c r="H22" s="128"/>
      <c r="I22" s="131">
        <v>1494</v>
      </c>
      <c r="L22" s="26"/>
      <c r="M22" s="26"/>
      <c r="N22" s="643" t="s">
        <v>309</v>
      </c>
      <c r="O22" s="132">
        <f t="array" ref="O22">I22/whpy</f>
        <v>0.86860465116279073</v>
      </c>
      <c r="P22" s="258">
        <f>$O$38</f>
        <v>0.86860465116279073</v>
      </c>
      <c r="Q22" s="258">
        <f>$O$38</f>
        <v>0.86860465116279073</v>
      </c>
      <c r="R22" s="268">
        <f t="shared" ref="R22:R32" si="12" xml:space="preserve"> 10^(LOG(Q22/P22)/LOG(Q$6/P$6)-1)</f>
        <v>0.1</v>
      </c>
      <c r="S22" s="32">
        <f t="shared" ref="S22:S31" ca="1" si="13">P22*(10*R22)^LOG(wing_area/ref_wing_area)</f>
        <v>0.86860465116279073</v>
      </c>
      <c r="T22" s="396">
        <v>0.1</v>
      </c>
      <c r="U22" s="32">
        <f t="shared" ref="U22:U31" ca="1" si="14">S22*(10*T22)^LOG(Q_prototype)</f>
        <v>0.86860465116279073</v>
      </c>
      <c r="V22" s="27"/>
      <c r="W22" s="26" t="s">
        <v>704</v>
      </c>
      <c r="X22" s="27"/>
      <c r="Y22" s="413"/>
      <c r="Z22" s="413"/>
      <c r="AA22" s="413"/>
      <c r="AB22" s="413"/>
      <c r="AC22" s="413">
        <v>0.5</v>
      </c>
      <c r="AD22" s="413">
        <v>0.5</v>
      </c>
      <c r="AE22" s="413"/>
      <c r="AF22" s="413"/>
      <c r="AG22" s="413"/>
      <c r="AH22" s="413"/>
      <c r="AI22" s="413"/>
      <c r="AJ22" s="413"/>
      <c r="AK22" s="413"/>
      <c r="AL22" s="413"/>
      <c r="AM22" s="193"/>
      <c r="AN22" s="408">
        <f t="shared" si="6"/>
        <v>1</v>
      </c>
      <c r="AO22" s="251">
        <f t="shared" ref="AO22:AO31" ca="1" si="15">AN22*U22</f>
        <v>0.86860465116279073</v>
      </c>
      <c r="AP22" s="32">
        <f t="shared" ref="AP22:AP31" ca="1" si="16">AO22*average_wage*(1+employer_contributions)</f>
        <v>52.116279069767444</v>
      </c>
      <c r="AQ22" s="260">
        <f t="shared" ca="1" si="10"/>
        <v>51.247674418604653</v>
      </c>
    </row>
    <row r="23" spans="1:43" hidden="1" outlineLevel="1" x14ac:dyDescent="0.3">
      <c r="A23" s="26" t="s">
        <v>574</v>
      </c>
      <c r="B23" s="26" t="s">
        <v>185</v>
      </c>
      <c r="C23" s="27">
        <v>1</v>
      </c>
      <c r="D23" s="129" t="s">
        <v>695</v>
      </c>
      <c r="E23" s="281" t="s">
        <v>565</v>
      </c>
      <c r="F23" s="128"/>
      <c r="G23" s="128"/>
      <c r="H23" s="128"/>
      <c r="I23" s="131">
        <v>15068.61</v>
      </c>
      <c r="J23" s="130"/>
      <c r="K23" s="130"/>
      <c r="L23" s="130"/>
      <c r="M23" s="130"/>
      <c r="N23" s="643" t="s">
        <v>310</v>
      </c>
      <c r="O23" s="132">
        <f t="array" ref="O23">I23/whpy</f>
        <v>8.7608197674418609</v>
      </c>
      <c r="P23" s="164">
        <f>O23*0.6*3</f>
        <v>15.76947558139535</v>
      </c>
      <c r="Q23" s="164">
        <f>O23*0.6*5</f>
        <v>26.282459302325584</v>
      </c>
      <c r="R23" s="268">
        <f t="shared" si="12"/>
        <v>0.36098815407745183</v>
      </c>
      <c r="S23" s="647">
        <f t="shared" ca="1" si="13"/>
        <v>6.4290440412401235</v>
      </c>
      <c r="T23" s="396">
        <v>0.1</v>
      </c>
      <c r="U23" s="32">
        <f t="shared" ca="1" si="14"/>
        <v>6.4290440412401235</v>
      </c>
      <c r="V23" s="27"/>
      <c r="W23" s="26" t="s">
        <v>704</v>
      </c>
      <c r="X23" s="27"/>
      <c r="Y23" s="413"/>
      <c r="Z23" s="413"/>
      <c r="AA23" s="413"/>
      <c r="AB23" s="413"/>
      <c r="AC23" s="413">
        <v>0.5</v>
      </c>
      <c r="AD23" s="413">
        <v>0.5</v>
      </c>
      <c r="AE23" s="413"/>
      <c r="AF23" s="413"/>
      <c r="AG23" s="413"/>
      <c r="AH23" s="413"/>
      <c r="AI23" s="413"/>
      <c r="AJ23" s="413"/>
      <c r="AK23" s="413"/>
      <c r="AL23" s="413"/>
      <c r="AM23" s="193"/>
      <c r="AN23" s="408">
        <f t="shared" si="6"/>
        <v>1</v>
      </c>
      <c r="AO23" s="251">
        <f t="shared" ca="1" si="15"/>
        <v>6.4290440412401235</v>
      </c>
      <c r="AP23" s="32">
        <f t="shared" ca="1" si="16"/>
        <v>385.74264247440738</v>
      </c>
      <c r="AQ23" s="260">
        <f t="shared" ca="1" si="10"/>
        <v>379.31359843316727</v>
      </c>
    </row>
    <row r="24" spans="1:43" hidden="1" outlineLevel="1" x14ac:dyDescent="0.3">
      <c r="A24" s="26" t="s">
        <v>574</v>
      </c>
      <c r="B24" s="26" t="s">
        <v>185</v>
      </c>
      <c r="C24" s="27">
        <v>1</v>
      </c>
      <c r="D24" s="129" t="s">
        <v>695</v>
      </c>
      <c r="E24" s="281" t="s">
        <v>567</v>
      </c>
      <c r="F24" s="128"/>
      <c r="G24" s="128"/>
      <c r="H24" s="128"/>
      <c r="I24" s="131">
        <v>5572.36</v>
      </c>
      <c r="J24" s="130"/>
      <c r="K24" s="130"/>
      <c r="L24" s="130"/>
      <c r="M24" s="130"/>
      <c r="N24" s="643" t="s">
        <v>473</v>
      </c>
      <c r="O24" s="132">
        <f t="array" ref="O24">I24/whpy</f>
        <v>3.2397441860465115</v>
      </c>
      <c r="P24" s="133">
        <v>2</v>
      </c>
      <c r="Q24" s="258">
        <f>P24</f>
        <v>2</v>
      </c>
      <c r="R24" s="268">
        <f t="shared" si="12"/>
        <v>0.1</v>
      </c>
      <c r="S24" s="32">
        <f t="shared" ca="1" si="13"/>
        <v>2</v>
      </c>
      <c r="T24" s="396">
        <v>0.1</v>
      </c>
      <c r="U24" s="32">
        <f t="shared" ca="1" si="14"/>
        <v>2</v>
      </c>
      <c r="V24" s="27"/>
      <c r="W24" s="26" t="s">
        <v>704</v>
      </c>
      <c r="X24" s="27"/>
      <c r="Y24" s="413"/>
      <c r="Z24" s="413"/>
      <c r="AA24" s="413"/>
      <c r="AB24" s="413"/>
      <c r="AC24" s="413">
        <v>0.5</v>
      </c>
      <c r="AD24" s="413">
        <v>0.5</v>
      </c>
      <c r="AE24" s="413"/>
      <c r="AF24" s="413"/>
      <c r="AG24" s="413"/>
      <c r="AH24" s="413"/>
      <c r="AI24" s="413"/>
      <c r="AJ24" s="413"/>
      <c r="AK24" s="413"/>
      <c r="AL24" s="413"/>
      <c r="AM24" s="193"/>
      <c r="AN24" s="408">
        <f t="shared" si="6"/>
        <v>1</v>
      </c>
      <c r="AO24" s="251">
        <f t="shared" ca="1" si="15"/>
        <v>2</v>
      </c>
      <c r="AP24" s="32">
        <f t="shared" ca="1" si="16"/>
        <v>120</v>
      </c>
      <c r="AQ24" s="260">
        <f t="shared" ca="1" si="10"/>
        <v>118</v>
      </c>
    </row>
    <row r="25" spans="1:43" hidden="1" outlineLevel="1" x14ac:dyDescent="0.3">
      <c r="A25" s="26" t="s">
        <v>574</v>
      </c>
      <c r="B25" s="26" t="s">
        <v>185</v>
      </c>
      <c r="C25" s="27">
        <v>1</v>
      </c>
      <c r="D25" s="129" t="s">
        <v>695</v>
      </c>
      <c r="E25" s="281" t="s">
        <v>311</v>
      </c>
      <c r="F25" s="128"/>
      <c r="G25" s="128"/>
      <c r="H25" s="128"/>
      <c r="I25" s="131">
        <v>4631.7100000000009</v>
      </c>
      <c r="J25" s="130"/>
      <c r="K25" s="130"/>
      <c r="L25" s="130"/>
      <c r="M25" s="130"/>
      <c r="N25" s="643" t="s">
        <v>312</v>
      </c>
      <c r="O25" s="132">
        <f t="array" ref="O25">I25/whpy</f>
        <v>2.6928546511627913</v>
      </c>
      <c r="P25" s="258">
        <f>O25</f>
        <v>2.6928546511627913</v>
      </c>
      <c r="Q25" s="164">
        <f>O25*1.5</f>
        <v>4.0392819767441868</v>
      </c>
      <c r="R25" s="268">
        <f t="shared" si="12"/>
        <v>0.27701740035088379</v>
      </c>
      <c r="S25" s="32">
        <f t="shared" ca="1" si="13"/>
        <v>1.3210332793914821</v>
      </c>
      <c r="T25" s="396">
        <v>0.1</v>
      </c>
      <c r="U25" s="32">
        <f t="shared" ca="1" si="14"/>
        <v>1.3210332793914821</v>
      </c>
      <c r="V25" s="27"/>
      <c r="W25" s="26" t="s">
        <v>704</v>
      </c>
      <c r="X25" s="27"/>
      <c r="Y25" s="413"/>
      <c r="Z25" s="413"/>
      <c r="AA25" s="413"/>
      <c r="AB25" s="413"/>
      <c r="AC25" s="413">
        <v>0.5</v>
      </c>
      <c r="AD25" s="413">
        <v>0.5</v>
      </c>
      <c r="AE25" s="413"/>
      <c r="AF25" s="413"/>
      <c r="AG25" s="413"/>
      <c r="AH25" s="413"/>
      <c r="AI25" s="413"/>
      <c r="AJ25" s="413"/>
      <c r="AK25" s="413"/>
      <c r="AL25" s="413"/>
      <c r="AM25" s="193"/>
      <c r="AN25" s="408">
        <f t="shared" si="6"/>
        <v>1</v>
      </c>
      <c r="AO25" s="251">
        <f t="shared" ca="1" si="15"/>
        <v>1.3210332793914821</v>
      </c>
      <c r="AP25" s="32">
        <f t="shared" ca="1" si="16"/>
        <v>79.261996763488924</v>
      </c>
      <c r="AQ25" s="260">
        <f t="shared" ca="1" si="10"/>
        <v>77.940963484097438</v>
      </c>
    </row>
    <row r="26" spans="1:43" hidden="1" outlineLevel="1" x14ac:dyDescent="0.3">
      <c r="A26" s="26" t="s">
        <v>574</v>
      </c>
      <c r="B26" s="26" t="s">
        <v>185</v>
      </c>
      <c r="C26" s="27">
        <v>1</v>
      </c>
      <c r="D26" s="129" t="s">
        <v>695</v>
      </c>
      <c r="E26" s="281" t="s">
        <v>313</v>
      </c>
      <c r="F26" s="128"/>
      <c r="G26" s="128"/>
      <c r="H26" s="128"/>
      <c r="I26" s="131">
        <v>9148.1200000000008</v>
      </c>
      <c r="J26" s="130"/>
      <c r="K26" s="130"/>
      <c r="L26" s="130"/>
      <c r="M26" s="130"/>
      <c r="N26" s="643" t="s">
        <v>314</v>
      </c>
      <c r="O26" s="132">
        <f t="array" ref="O26">I26/whpy</f>
        <v>5.318674418604652</v>
      </c>
      <c r="P26" s="164">
        <f>O26*0.7</f>
        <v>3.7230720930232559</v>
      </c>
      <c r="Q26" s="258">
        <f t="shared" ref="Q26:Q31" si="17">P26</f>
        <v>3.7230720930232559</v>
      </c>
      <c r="R26" s="268">
        <f t="shared" si="12"/>
        <v>0.1</v>
      </c>
      <c r="S26" s="32">
        <f t="shared" ca="1" si="13"/>
        <v>3.7230720930232559</v>
      </c>
      <c r="T26" s="396">
        <v>0.1</v>
      </c>
      <c r="U26" s="32">
        <f t="shared" ca="1" si="14"/>
        <v>3.7230720930232559</v>
      </c>
      <c r="V26" s="27"/>
      <c r="W26" s="26" t="s">
        <v>704</v>
      </c>
      <c r="X26" s="27"/>
      <c r="Y26" s="413"/>
      <c r="Z26" s="413"/>
      <c r="AA26" s="413"/>
      <c r="AB26" s="413"/>
      <c r="AC26" s="413">
        <v>0.5</v>
      </c>
      <c r="AD26" s="413">
        <v>0.5</v>
      </c>
      <c r="AE26" s="413"/>
      <c r="AF26" s="413"/>
      <c r="AG26" s="413"/>
      <c r="AH26" s="413"/>
      <c r="AI26" s="413"/>
      <c r="AJ26" s="413"/>
      <c r="AK26" s="413"/>
      <c r="AL26" s="413"/>
      <c r="AM26" s="193"/>
      <c r="AN26" s="408">
        <f t="shared" si="6"/>
        <v>1</v>
      </c>
      <c r="AO26" s="251">
        <f t="shared" ca="1" si="15"/>
        <v>3.7230720930232559</v>
      </c>
      <c r="AP26" s="32">
        <f t="shared" ca="1" si="16"/>
        <v>223.38432558139536</v>
      </c>
      <c r="AQ26" s="260">
        <f t="shared" ca="1" si="10"/>
        <v>219.6612534883721</v>
      </c>
    </row>
    <row r="27" spans="1:43" hidden="1" outlineLevel="1" x14ac:dyDescent="0.3">
      <c r="A27" s="26" t="s">
        <v>574</v>
      </c>
      <c r="B27" s="26" t="s">
        <v>185</v>
      </c>
      <c r="C27" s="27">
        <v>1</v>
      </c>
      <c r="D27" s="129" t="s">
        <v>695</v>
      </c>
      <c r="E27" s="281" t="s">
        <v>315</v>
      </c>
      <c r="F27" s="128"/>
      <c r="G27" s="128"/>
      <c r="H27" s="128"/>
      <c r="I27" s="131">
        <f>2211+3635</f>
        <v>5846</v>
      </c>
      <c r="J27" s="130"/>
      <c r="K27" s="130"/>
      <c r="L27" s="130"/>
      <c r="M27" s="130"/>
      <c r="N27" s="643" t="s">
        <v>316</v>
      </c>
      <c r="O27" s="132">
        <f t="array" ref="O27">I27/whpy</f>
        <v>3.3988372093023256</v>
      </c>
      <c r="P27" s="164">
        <f>O27*0.3</f>
        <v>1.0196511627906977</v>
      </c>
      <c r="Q27" s="258">
        <f t="shared" si="17"/>
        <v>1.0196511627906977</v>
      </c>
      <c r="R27" s="268">
        <f t="shared" si="12"/>
        <v>0.1</v>
      </c>
      <c r="S27" s="32">
        <f t="shared" ca="1" si="13"/>
        <v>1.0196511627906977</v>
      </c>
      <c r="T27" s="396">
        <v>0.1</v>
      </c>
      <c r="U27" s="32">
        <f t="shared" ca="1" si="14"/>
        <v>1.0196511627906977</v>
      </c>
      <c r="V27" s="27"/>
      <c r="W27" s="26" t="s">
        <v>704</v>
      </c>
      <c r="X27" s="27"/>
      <c r="Y27" s="413"/>
      <c r="Z27" s="413"/>
      <c r="AA27" s="413"/>
      <c r="AB27" s="413"/>
      <c r="AC27" s="413">
        <v>0.5</v>
      </c>
      <c r="AD27" s="413">
        <v>0.5</v>
      </c>
      <c r="AE27" s="413"/>
      <c r="AF27" s="413"/>
      <c r="AG27" s="413"/>
      <c r="AH27" s="413"/>
      <c r="AI27" s="413"/>
      <c r="AJ27" s="413"/>
      <c r="AK27" s="413"/>
      <c r="AL27" s="413"/>
      <c r="AM27" s="193"/>
      <c r="AN27" s="408">
        <f t="shared" si="6"/>
        <v>1</v>
      </c>
      <c r="AO27" s="251">
        <f t="shared" ca="1" si="15"/>
        <v>1.0196511627906977</v>
      </c>
      <c r="AP27" s="32">
        <f t="shared" ca="1" si="16"/>
        <v>61.179069767441852</v>
      </c>
      <c r="AQ27" s="260">
        <f t="shared" ca="1" si="10"/>
        <v>60.159418604651158</v>
      </c>
    </row>
    <row r="28" spans="1:43" hidden="1" outlineLevel="1" x14ac:dyDescent="0.3">
      <c r="A28" s="26" t="s">
        <v>574</v>
      </c>
      <c r="B28" s="26" t="s">
        <v>185</v>
      </c>
      <c r="C28" s="27">
        <v>1</v>
      </c>
      <c r="D28" s="129" t="s">
        <v>695</v>
      </c>
      <c r="E28" s="281" t="s">
        <v>317</v>
      </c>
      <c r="F28" s="128"/>
      <c r="G28" s="128"/>
      <c r="H28" s="128"/>
      <c r="I28" s="131">
        <f>9543.17+695+241+546+291</f>
        <v>11316.17</v>
      </c>
      <c r="J28" s="130"/>
      <c r="K28" s="130"/>
      <c r="L28" s="130"/>
      <c r="M28" s="130"/>
      <c r="N28" s="643" t="s">
        <v>318</v>
      </c>
      <c r="O28" s="132">
        <f t="array" ref="O28">I28/whpy</f>
        <v>6.579168604651163</v>
      </c>
      <c r="P28" s="164">
        <f>O28*0.5</f>
        <v>3.2895843023255815</v>
      </c>
      <c r="Q28" s="258">
        <f t="shared" si="17"/>
        <v>3.2895843023255815</v>
      </c>
      <c r="R28" s="268">
        <f t="shared" si="12"/>
        <v>0.1</v>
      </c>
      <c r="S28" s="32">
        <f t="shared" ca="1" si="13"/>
        <v>3.2895843023255815</v>
      </c>
      <c r="T28" s="396">
        <v>0.1</v>
      </c>
      <c r="U28" s="32">
        <f t="shared" ca="1" si="14"/>
        <v>3.2895843023255815</v>
      </c>
      <c r="V28" s="27"/>
      <c r="W28" s="26" t="s">
        <v>704</v>
      </c>
      <c r="X28" s="27"/>
      <c r="Y28" s="413"/>
      <c r="Z28" s="413"/>
      <c r="AA28" s="413"/>
      <c r="AB28" s="413"/>
      <c r="AC28" s="413">
        <v>0.5</v>
      </c>
      <c r="AD28" s="413">
        <v>0.5</v>
      </c>
      <c r="AE28" s="413"/>
      <c r="AF28" s="413"/>
      <c r="AG28" s="413"/>
      <c r="AH28" s="413"/>
      <c r="AI28" s="413"/>
      <c r="AJ28" s="413"/>
      <c r="AK28" s="413"/>
      <c r="AL28" s="413"/>
      <c r="AM28" s="193"/>
      <c r="AN28" s="408">
        <f t="shared" si="6"/>
        <v>1</v>
      </c>
      <c r="AO28" s="251">
        <f t="shared" ca="1" si="15"/>
        <v>3.2895843023255815</v>
      </c>
      <c r="AP28" s="32">
        <f t="shared" ca="1" si="16"/>
        <v>197.3750581395349</v>
      </c>
      <c r="AQ28" s="260">
        <f t="shared" ca="1" si="10"/>
        <v>194.08547383720932</v>
      </c>
    </row>
    <row r="29" spans="1:43" hidden="1" outlineLevel="1" x14ac:dyDescent="0.3">
      <c r="A29" s="26" t="s">
        <v>574</v>
      </c>
      <c r="B29" s="26" t="s">
        <v>185</v>
      </c>
      <c r="C29" s="27">
        <v>1</v>
      </c>
      <c r="D29" s="129" t="s">
        <v>695</v>
      </c>
      <c r="E29" s="281" t="s">
        <v>319</v>
      </c>
      <c r="F29" s="128"/>
      <c r="G29" s="128"/>
      <c r="H29" s="128"/>
      <c r="I29" s="131">
        <f>2749.47+43</f>
        <v>2792.47</v>
      </c>
      <c r="J29" s="130"/>
      <c r="K29" s="130"/>
      <c r="L29" s="130"/>
      <c r="M29" s="130"/>
      <c r="N29" s="643" t="s">
        <v>320</v>
      </c>
      <c r="O29" s="132">
        <f t="array" ref="O29">I29/whpy</f>
        <v>1.6235290697674418</v>
      </c>
      <c r="P29" s="164">
        <f>O29*0.7</f>
        <v>1.1364703488372092</v>
      </c>
      <c r="Q29" s="258">
        <f t="shared" si="17"/>
        <v>1.1364703488372092</v>
      </c>
      <c r="R29" s="268">
        <f t="shared" si="12"/>
        <v>0.1</v>
      </c>
      <c r="S29" s="32">
        <f t="shared" ca="1" si="13"/>
        <v>1.1364703488372092</v>
      </c>
      <c r="T29" s="396">
        <v>0.1</v>
      </c>
      <c r="U29" s="32">
        <f t="shared" ca="1" si="14"/>
        <v>1.1364703488372092</v>
      </c>
      <c r="V29" s="27"/>
      <c r="W29" s="26" t="s">
        <v>704</v>
      </c>
      <c r="X29" s="27"/>
      <c r="Y29" s="413"/>
      <c r="Z29" s="413"/>
      <c r="AA29" s="413"/>
      <c r="AB29" s="413"/>
      <c r="AC29" s="413">
        <v>0.5</v>
      </c>
      <c r="AD29" s="413">
        <v>0.5</v>
      </c>
      <c r="AE29" s="413"/>
      <c r="AF29" s="413"/>
      <c r="AG29" s="413"/>
      <c r="AH29" s="413"/>
      <c r="AI29" s="413"/>
      <c r="AJ29" s="413"/>
      <c r="AK29" s="413"/>
      <c r="AL29" s="413"/>
      <c r="AM29" s="193"/>
      <c r="AN29" s="408">
        <f t="shared" si="6"/>
        <v>1</v>
      </c>
      <c r="AO29" s="251">
        <f t="shared" ca="1" si="15"/>
        <v>1.1364703488372092</v>
      </c>
      <c r="AP29" s="32">
        <f t="shared" ca="1" si="16"/>
        <v>68.188220930232546</v>
      </c>
      <c r="AQ29" s="260">
        <f t="shared" ca="1" si="10"/>
        <v>67.051750581395339</v>
      </c>
    </row>
    <row r="30" spans="1:43" hidden="1" outlineLevel="1" x14ac:dyDescent="0.3">
      <c r="A30" s="26" t="s">
        <v>574</v>
      </c>
      <c r="B30" s="26" t="s">
        <v>185</v>
      </c>
      <c r="C30" s="27">
        <v>1</v>
      </c>
      <c r="D30" s="129" t="s">
        <v>695</v>
      </c>
      <c r="E30" s="281" t="s">
        <v>321</v>
      </c>
      <c r="F30" s="128"/>
      <c r="G30" s="128"/>
      <c r="H30" s="128"/>
      <c r="I30" s="131">
        <f>4502.61+45</f>
        <v>4547.6099999999997</v>
      </c>
      <c r="J30" s="130"/>
      <c r="K30" s="130"/>
      <c r="L30" s="130"/>
      <c r="M30" s="130"/>
      <c r="N30" s="643" t="s">
        <v>312</v>
      </c>
      <c r="O30" s="132">
        <f t="array" ref="O30">I30/whpy</f>
        <v>2.6439593023255812</v>
      </c>
      <c r="P30" s="258">
        <f>O30</f>
        <v>2.6439593023255812</v>
      </c>
      <c r="Q30" s="258">
        <f t="shared" si="17"/>
        <v>2.6439593023255812</v>
      </c>
      <c r="R30" s="268">
        <f t="shared" si="12"/>
        <v>0.1</v>
      </c>
      <c r="S30" s="32">
        <f t="shared" ca="1" si="13"/>
        <v>2.6439593023255812</v>
      </c>
      <c r="T30" s="396">
        <v>0.1</v>
      </c>
      <c r="U30" s="32">
        <f t="shared" ca="1" si="14"/>
        <v>2.6439593023255812</v>
      </c>
      <c r="V30" s="27"/>
      <c r="W30" s="26" t="s">
        <v>704</v>
      </c>
      <c r="X30" s="27"/>
      <c r="Y30" s="413"/>
      <c r="Z30" s="413"/>
      <c r="AA30" s="413"/>
      <c r="AB30" s="413"/>
      <c r="AC30" s="413">
        <v>0.5</v>
      </c>
      <c r="AD30" s="413">
        <v>0.5</v>
      </c>
      <c r="AE30" s="413"/>
      <c r="AF30" s="413"/>
      <c r="AG30" s="413"/>
      <c r="AH30" s="413"/>
      <c r="AI30" s="413"/>
      <c r="AJ30" s="413"/>
      <c r="AK30" s="413"/>
      <c r="AL30" s="413"/>
      <c r="AM30" s="193"/>
      <c r="AN30" s="408">
        <f t="shared" si="6"/>
        <v>1</v>
      </c>
      <c r="AO30" s="251">
        <f t="shared" ca="1" si="15"/>
        <v>2.6439593023255812</v>
      </c>
      <c r="AP30" s="32">
        <f t="shared" ca="1" si="16"/>
        <v>158.63755813953486</v>
      </c>
      <c r="AQ30" s="260">
        <f t="shared" ca="1" si="10"/>
        <v>155.99359883720928</v>
      </c>
    </row>
    <row r="31" spans="1:43" hidden="1" outlineLevel="1" x14ac:dyDescent="0.3">
      <c r="A31" s="26" t="s">
        <v>574</v>
      </c>
      <c r="B31" s="26" t="s">
        <v>185</v>
      </c>
      <c r="C31" s="27">
        <v>1</v>
      </c>
      <c r="D31" s="129" t="s">
        <v>695</v>
      </c>
      <c r="E31" s="282" t="s">
        <v>322</v>
      </c>
      <c r="F31" s="141"/>
      <c r="G31" s="141"/>
      <c r="H31" s="141"/>
      <c r="I31" s="184">
        <v>5038.51</v>
      </c>
      <c r="J31" s="256"/>
      <c r="K31" s="256"/>
      <c r="L31" s="256"/>
      <c r="M31" s="256"/>
      <c r="N31" s="644" t="s">
        <v>323</v>
      </c>
      <c r="O31" s="185">
        <f t="array" ref="O31">I31/whpy</f>
        <v>2.9293662790697677</v>
      </c>
      <c r="P31" s="186">
        <f>O31*0.5</f>
        <v>1.4646831395348838</v>
      </c>
      <c r="Q31" s="257">
        <f t="shared" si="17"/>
        <v>1.4646831395348838</v>
      </c>
      <c r="R31" s="269">
        <f t="shared" si="12"/>
        <v>0.1</v>
      </c>
      <c r="S31" s="265">
        <f t="shared" ca="1" si="13"/>
        <v>1.4646831395348838</v>
      </c>
      <c r="T31" s="397">
        <v>0.1</v>
      </c>
      <c r="U31" s="265">
        <f t="shared" ca="1" si="14"/>
        <v>1.4646831395348838</v>
      </c>
      <c r="V31" s="27"/>
      <c r="W31" s="26" t="s">
        <v>704</v>
      </c>
      <c r="X31" s="27"/>
      <c r="Y31" s="414"/>
      <c r="Z31" s="414"/>
      <c r="AA31" s="414"/>
      <c r="AB31" s="414"/>
      <c r="AC31" s="414">
        <v>0.5</v>
      </c>
      <c r="AD31" s="414">
        <v>0.5</v>
      </c>
      <c r="AE31" s="414"/>
      <c r="AF31" s="414"/>
      <c r="AG31" s="414"/>
      <c r="AH31" s="414"/>
      <c r="AI31" s="414"/>
      <c r="AJ31" s="414"/>
      <c r="AK31" s="414"/>
      <c r="AL31" s="414"/>
      <c r="AM31" s="193"/>
      <c r="AN31" s="409">
        <f t="shared" si="6"/>
        <v>1</v>
      </c>
      <c r="AO31" s="399">
        <f t="shared" ca="1" si="15"/>
        <v>1.4646831395348838</v>
      </c>
      <c r="AP31" s="265">
        <f t="shared" ca="1" si="16"/>
        <v>87.880988372093029</v>
      </c>
      <c r="AQ31" s="260">
        <f t="shared" ca="1" si="10"/>
        <v>86.416305232558145</v>
      </c>
    </row>
    <row r="32" spans="1:43" s="260" customFormat="1" collapsed="1" x14ac:dyDescent="0.3">
      <c r="A32" s="26" t="s">
        <v>574</v>
      </c>
      <c r="B32" s="26" t="s">
        <v>185</v>
      </c>
      <c r="C32" s="27">
        <v>2</v>
      </c>
      <c r="D32" s="129" t="s">
        <v>695</v>
      </c>
      <c r="E32" s="279" t="s">
        <v>581</v>
      </c>
      <c r="F32" s="239"/>
      <c r="G32" s="239"/>
      <c r="H32" s="239"/>
      <c r="I32" s="234">
        <f>SUM(I22:I31)</f>
        <v>65455.560000000005</v>
      </c>
      <c r="J32" s="261"/>
      <c r="K32" s="261"/>
      <c r="L32" s="261"/>
      <c r="M32" s="261"/>
      <c r="N32" s="645"/>
      <c r="O32" s="234">
        <f>SUM(O22:O31)</f>
        <v>38.055558139534888</v>
      </c>
      <c r="P32" s="234">
        <f>SUM(P22:P31)</f>
        <v>34.608355232558139</v>
      </c>
      <c r="Q32" s="234">
        <f>SUM(Q22:Q31)</f>
        <v>46.467766279069764</v>
      </c>
      <c r="R32" s="235">
        <f t="shared" si="12"/>
        <v>0.20969266430581265</v>
      </c>
      <c r="S32" s="234">
        <f ca="1">SUM(S22:S31)</f>
        <v>23.896102320631609</v>
      </c>
      <c r="T32" s="235">
        <f ca="1">IFERROR(10^(LOG(U32/S32)/LOG(Q_prototype)-1),0)</f>
        <v>0.1</v>
      </c>
      <c r="U32" s="234">
        <f ca="1">SUM(U22:U31)</f>
        <v>23.896102320631609</v>
      </c>
      <c r="V32" s="140"/>
      <c r="W32" s="260" t="s">
        <v>690</v>
      </c>
      <c r="X32" s="140"/>
      <c r="Y32" s="310">
        <f t="shared" ref="Y32:AL32" ca="1" si="18">SUMPRODUCT($U22:$U31,Y22:Y31)</f>
        <v>0</v>
      </c>
      <c r="Z32" s="310">
        <f t="shared" ca="1" si="18"/>
        <v>0</v>
      </c>
      <c r="AA32" s="310">
        <f t="shared" ca="1" si="18"/>
        <v>0</v>
      </c>
      <c r="AB32" s="310">
        <f t="shared" ca="1" si="18"/>
        <v>0</v>
      </c>
      <c r="AC32" s="310">
        <f t="shared" ca="1" si="18"/>
        <v>11.948051160315805</v>
      </c>
      <c r="AD32" s="310">
        <f t="shared" ca="1" si="18"/>
        <v>11.948051160315805</v>
      </c>
      <c r="AE32" s="310">
        <f t="shared" ca="1" si="18"/>
        <v>0</v>
      </c>
      <c r="AF32" s="310">
        <f t="shared" ca="1" si="18"/>
        <v>0</v>
      </c>
      <c r="AG32" s="310">
        <f t="shared" ca="1" si="18"/>
        <v>0</v>
      </c>
      <c r="AH32" s="310">
        <f t="shared" ca="1" si="18"/>
        <v>0</v>
      </c>
      <c r="AI32" s="310">
        <f t="shared" ca="1" si="18"/>
        <v>0</v>
      </c>
      <c r="AJ32" s="310">
        <f t="shared" ca="1" si="18"/>
        <v>0</v>
      </c>
      <c r="AK32" s="310">
        <f t="shared" ca="1" si="18"/>
        <v>0</v>
      </c>
      <c r="AL32" s="310">
        <f t="shared" ca="1" si="18"/>
        <v>0</v>
      </c>
      <c r="AM32" s="140"/>
      <c r="AN32" s="308">
        <f t="shared" ca="1" si="6"/>
        <v>23.896102320631609</v>
      </c>
      <c r="AO32" s="308">
        <f ca="1">SUM(AO22:AO31)</f>
        <v>23.896102320631609</v>
      </c>
      <c r="AP32" s="234">
        <f ca="1">SUM(AP22:AP31)</f>
        <v>1433.7661392378964</v>
      </c>
      <c r="AQ32" s="458">
        <f ca="1">AP32-U32*(1+employer_contributions)*average_wage</f>
        <v>0</v>
      </c>
    </row>
    <row r="33" spans="1:43" s="9" customFormat="1" hidden="1" outlineLevel="1" x14ac:dyDescent="0.3">
      <c r="A33" s="26"/>
      <c r="B33" s="26"/>
      <c r="C33"/>
      <c r="D33" s="139"/>
      <c r="E33" s="280"/>
      <c r="N33" s="299"/>
      <c r="R33" s="267"/>
      <c r="S33" s="264"/>
      <c r="T33" s="267"/>
      <c r="U33" s="264"/>
      <c r="W33" s="26"/>
      <c r="Y33" s="385"/>
      <c r="Z33" s="385"/>
      <c r="AA33" s="385"/>
      <c r="AB33" s="385"/>
      <c r="AC33" s="385"/>
      <c r="AD33" s="385"/>
      <c r="AE33" s="385"/>
      <c r="AF33" s="385"/>
      <c r="AG33" s="385"/>
      <c r="AH33" s="385"/>
      <c r="AI33" s="385"/>
      <c r="AJ33" s="385"/>
      <c r="AK33" s="385"/>
      <c r="AL33" s="385"/>
      <c r="AN33" s="241"/>
      <c r="AO33" s="406"/>
      <c r="AP33" s="264"/>
      <c r="AQ33" s="260">
        <f t="shared" si="10"/>
        <v>0</v>
      </c>
    </row>
    <row r="34" spans="1:43" ht="15.75" hidden="1" customHeight="1" outlineLevel="1" x14ac:dyDescent="0.3">
      <c r="A34" s="26" t="s">
        <v>376</v>
      </c>
      <c r="B34" s="26" t="s">
        <v>185</v>
      </c>
      <c r="C34" s="27">
        <v>1</v>
      </c>
      <c r="D34" s="129" t="s">
        <v>695</v>
      </c>
      <c r="E34" s="282" t="s">
        <v>376</v>
      </c>
      <c r="F34" s="141"/>
      <c r="G34" s="141"/>
      <c r="H34" s="141"/>
      <c r="I34" s="184">
        <v>1494</v>
      </c>
      <c r="J34" s="144"/>
      <c r="K34" s="144"/>
      <c r="L34" s="144"/>
      <c r="M34" s="144"/>
      <c r="N34" s="644" t="s">
        <v>309</v>
      </c>
      <c r="O34" s="185">
        <f t="array" ref="O34">I34/whpy</f>
        <v>0.86860465116279073</v>
      </c>
      <c r="P34" s="254">
        <v>50</v>
      </c>
      <c r="Q34" s="254">
        <v>55</v>
      </c>
      <c r="R34" s="269">
        <f xml:space="preserve"> 10^(LOG(Q34/P34)/LOG(Q$6/P$6)-1)</f>
        <v>0.12706250124917753</v>
      </c>
      <c r="S34" s="265">
        <f ca="1">P34*(10*R34)^LOG(wing_area/ref_wing_area)</f>
        <v>42.292656167156146</v>
      </c>
      <c r="T34" s="397">
        <v>0.1</v>
      </c>
      <c r="U34" s="265">
        <f ca="1">S34*(10*T34)^LOG(Q_prototype)</f>
        <v>42.292656167156146</v>
      </c>
      <c r="V34" s="27"/>
      <c r="W34" s="26" t="s">
        <v>704</v>
      </c>
      <c r="X34" s="27"/>
      <c r="Y34" s="414"/>
      <c r="Z34" s="414"/>
      <c r="AA34" s="414"/>
      <c r="AB34" s="414"/>
      <c r="AC34" s="414">
        <f>1/5</f>
        <v>0.2</v>
      </c>
      <c r="AD34" s="414">
        <f>1/5</f>
        <v>0.2</v>
      </c>
      <c r="AE34" s="414">
        <f>1/5</f>
        <v>0.2</v>
      </c>
      <c r="AF34" s="414">
        <f>1/5</f>
        <v>0.2</v>
      </c>
      <c r="AG34" s="414">
        <f>1/5</f>
        <v>0.2</v>
      </c>
      <c r="AH34" s="414"/>
      <c r="AI34" s="414"/>
      <c r="AJ34" s="414"/>
      <c r="AK34" s="414"/>
      <c r="AL34" s="414"/>
      <c r="AM34" s="193"/>
      <c r="AN34" s="409">
        <f t="shared" si="6"/>
        <v>1</v>
      </c>
      <c r="AO34" s="399">
        <f ca="1">AN34*U34</f>
        <v>42.292656167156146</v>
      </c>
      <c r="AP34" s="265">
        <f ca="1">AO34*average_wage*(1+employer_contributions)</f>
        <v>2537.5593700293689</v>
      </c>
      <c r="AQ34" s="260">
        <f t="shared" ca="1" si="10"/>
        <v>2495.2667138622128</v>
      </c>
    </row>
    <row r="35" spans="1:43" collapsed="1" x14ac:dyDescent="0.3">
      <c r="A35" s="26" t="s">
        <v>376</v>
      </c>
      <c r="B35" s="26" t="s">
        <v>185</v>
      </c>
      <c r="C35" s="27">
        <v>2</v>
      </c>
      <c r="D35" s="129" t="s">
        <v>695</v>
      </c>
      <c r="E35" s="279" t="s">
        <v>582</v>
      </c>
      <c r="F35" s="239"/>
      <c r="G35" s="239"/>
      <c r="H35" s="239"/>
      <c r="I35" s="234">
        <f>SUM(I34:I34)</f>
        <v>1494</v>
      </c>
      <c r="J35" s="236"/>
      <c r="K35" s="236"/>
      <c r="L35" s="236"/>
      <c r="M35" s="236"/>
      <c r="N35" s="646"/>
      <c r="O35" s="237">
        <f>SUM(O34:O34)</f>
        <v>0.86860465116279073</v>
      </c>
      <c r="P35" s="234">
        <f>SUM(P34:P34)</f>
        <v>50</v>
      </c>
      <c r="Q35" s="234">
        <f>SUM(Q34:Q34)</f>
        <v>55</v>
      </c>
      <c r="R35" s="235">
        <f xml:space="preserve"> 10^(LOG(Q35/P35)/LOG(Q$6/P$6)-1)</f>
        <v>0.12706250124917753</v>
      </c>
      <c r="S35" s="234">
        <f ca="1">SUM(S34:S34)</f>
        <v>42.292656167156146</v>
      </c>
      <c r="T35" s="235">
        <f ca="1">IFERROR(10^(LOG(U35/S35)/LOG(Q_prototype)-1),0)</f>
        <v>0.1</v>
      </c>
      <c r="U35" s="234">
        <f ca="1">SUM(U34:U34)</f>
        <v>42.292656167156146</v>
      </c>
      <c r="V35" s="27"/>
      <c r="W35" s="260" t="s">
        <v>690</v>
      </c>
      <c r="X35" s="27"/>
      <c r="Y35" s="310">
        <f t="shared" ref="Y35:AL35" ca="1" si="19">$U34*Y34</f>
        <v>0</v>
      </c>
      <c r="Z35" s="310">
        <f t="shared" ca="1" si="19"/>
        <v>0</v>
      </c>
      <c r="AA35" s="310">
        <f t="shared" ca="1" si="19"/>
        <v>0</v>
      </c>
      <c r="AB35" s="310">
        <f t="shared" ca="1" si="19"/>
        <v>0</v>
      </c>
      <c r="AC35" s="310">
        <f t="shared" ca="1" si="19"/>
        <v>8.4585312334312288</v>
      </c>
      <c r="AD35" s="310">
        <f t="shared" ca="1" si="19"/>
        <v>8.4585312334312288</v>
      </c>
      <c r="AE35" s="310">
        <f t="shared" ca="1" si="19"/>
        <v>8.4585312334312288</v>
      </c>
      <c r="AF35" s="310">
        <f t="shared" ca="1" si="19"/>
        <v>8.4585312334312288</v>
      </c>
      <c r="AG35" s="310">
        <f t="shared" ca="1" si="19"/>
        <v>8.4585312334312288</v>
      </c>
      <c r="AH35" s="310">
        <f t="shared" ca="1" si="19"/>
        <v>0</v>
      </c>
      <c r="AI35" s="310">
        <f t="shared" ca="1" si="19"/>
        <v>0</v>
      </c>
      <c r="AJ35" s="310">
        <f t="shared" ca="1" si="19"/>
        <v>0</v>
      </c>
      <c r="AK35" s="310">
        <f t="shared" ca="1" si="19"/>
        <v>0</v>
      </c>
      <c r="AL35" s="310">
        <f t="shared" ca="1" si="19"/>
        <v>0</v>
      </c>
      <c r="AM35" s="167"/>
      <c r="AN35" s="308">
        <f t="shared" ca="1" si="6"/>
        <v>42.292656167156146</v>
      </c>
      <c r="AO35" s="308">
        <f ca="1">SUM(AO34:AO34)</f>
        <v>42.292656167156146</v>
      </c>
      <c r="AP35" s="234">
        <f ca="1">SUM(AP34:AP34)</f>
        <v>2537.5593700293689</v>
      </c>
      <c r="AQ35" s="458">
        <f ca="1">AP35-U35*(1+employer_contributions)*average_wage</f>
        <v>0</v>
      </c>
    </row>
    <row r="36" spans="1:43" s="9" customFormat="1" hidden="1" outlineLevel="1" x14ac:dyDescent="0.3">
      <c r="A36" s="26"/>
      <c r="B36" s="26"/>
      <c r="C36"/>
      <c r="D36" s="139"/>
      <c r="E36" s="280"/>
      <c r="N36" s="299"/>
      <c r="R36" s="267"/>
      <c r="S36" s="264"/>
      <c r="T36" s="267"/>
      <c r="U36" s="264"/>
      <c r="W36" s="26"/>
      <c r="Y36" s="385"/>
      <c r="Z36" s="385"/>
      <c r="AA36" s="385"/>
      <c r="AB36" s="385"/>
      <c r="AC36" s="385"/>
      <c r="AD36" s="385"/>
      <c r="AE36" s="385"/>
      <c r="AF36" s="385"/>
      <c r="AG36" s="385"/>
      <c r="AH36" s="385"/>
      <c r="AI36" s="385"/>
      <c r="AJ36" s="385"/>
      <c r="AK36" s="385"/>
      <c r="AL36" s="385"/>
      <c r="AN36" s="241"/>
      <c r="AO36" s="406"/>
      <c r="AP36" s="264"/>
      <c r="AQ36" s="260">
        <f t="shared" si="10"/>
        <v>0</v>
      </c>
    </row>
    <row r="37" spans="1:43" hidden="1" outlineLevel="1" x14ac:dyDescent="0.3">
      <c r="A37" s="26" t="s">
        <v>702</v>
      </c>
      <c r="B37" s="26" t="s">
        <v>185</v>
      </c>
      <c r="C37" s="27">
        <v>1</v>
      </c>
      <c r="D37" s="129" t="s">
        <v>695</v>
      </c>
      <c r="E37" s="283" t="s">
        <v>482</v>
      </c>
      <c r="F37" s="128"/>
      <c r="G37" s="128"/>
      <c r="H37" s="128"/>
      <c r="I37" s="131"/>
      <c r="L37" s="26"/>
      <c r="M37" s="26"/>
      <c r="N37" s="643"/>
      <c r="O37" s="132"/>
      <c r="P37" s="255">
        <v>8</v>
      </c>
      <c r="Q37" s="255">
        <v>10</v>
      </c>
      <c r="R37" s="298">
        <f xml:space="preserve"> 10^(LOG(Q37/P37)/LOG(Q$6/P$6)-1)</f>
        <v>0.17519802361139702</v>
      </c>
      <c r="S37" s="32">
        <f ca="1">P37*(10*R37)^LOG(wing_area/ref_wing_area)</f>
        <v>5.4059295187701499</v>
      </c>
      <c r="T37" s="396">
        <v>0.1</v>
      </c>
      <c r="U37" s="32">
        <f ca="1">S37*(10*T37)^LOG(Q_prototype)</f>
        <v>5.4059295187701499</v>
      </c>
      <c r="V37" s="27"/>
      <c r="W37" s="26" t="s">
        <v>704</v>
      </c>
      <c r="X37" s="27"/>
      <c r="Y37" s="413"/>
      <c r="Z37" s="413"/>
      <c r="AA37" s="413"/>
      <c r="AB37" s="413"/>
      <c r="AC37" s="413"/>
      <c r="AD37" s="413"/>
      <c r="AE37" s="413"/>
      <c r="AF37" s="413"/>
      <c r="AG37" s="413"/>
      <c r="AH37" s="413">
        <v>1</v>
      </c>
      <c r="AI37" s="413"/>
      <c r="AJ37" s="413"/>
      <c r="AK37" s="413"/>
      <c r="AL37" s="413"/>
      <c r="AM37" s="193"/>
      <c r="AN37" s="408">
        <f t="shared" si="6"/>
        <v>1</v>
      </c>
      <c r="AO37" s="251">
        <f ca="1">AN37*U37</f>
        <v>5.4059295187701499</v>
      </c>
      <c r="AP37" s="32">
        <f ca="1">AO37*average_wage*(1+employer_contributions)</f>
        <v>324.35577112620899</v>
      </c>
      <c r="AQ37" s="260">
        <f t="shared" ca="1" si="10"/>
        <v>318.94984160743883</v>
      </c>
    </row>
    <row r="38" spans="1:43" hidden="1" outlineLevel="1" x14ac:dyDescent="0.3">
      <c r="A38" s="26" t="s">
        <v>702</v>
      </c>
      <c r="B38" s="26" t="s">
        <v>185</v>
      </c>
      <c r="C38" s="27">
        <v>1</v>
      </c>
      <c r="D38" s="129" t="s">
        <v>695</v>
      </c>
      <c r="E38" s="284" t="s">
        <v>557</v>
      </c>
      <c r="F38" s="141"/>
      <c r="G38" s="141"/>
      <c r="H38" s="141"/>
      <c r="I38" s="184">
        <v>1494</v>
      </c>
      <c r="J38" s="144"/>
      <c r="K38" s="144"/>
      <c r="L38" s="144"/>
      <c r="M38" s="144"/>
      <c r="N38" s="644" t="s">
        <v>309</v>
      </c>
      <c r="O38" s="185">
        <f t="array" ref="O38">I38/whpy</f>
        <v>0.86860465116279073</v>
      </c>
      <c r="P38" s="254">
        <v>30</v>
      </c>
      <c r="Q38" s="254">
        <v>32</v>
      </c>
      <c r="R38" s="269">
        <f xml:space="preserve"> 10^(LOG(Q38/P38)/LOG(Q$6/P$6)-1)</f>
        <v>0.11760737195796525</v>
      </c>
      <c r="S38" s="265">
        <f ca="1">P38*(10*R38)^LOG(wing_area/ref_wing_area)</f>
        <v>26.784874770933122</v>
      </c>
      <c r="T38" s="397">
        <v>0.1</v>
      </c>
      <c r="U38" s="265">
        <f ca="1">S38*(10*T38)^LOG(Q_prototype)</f>
        <v>26.784874770933122</v>
      </c>
      <c r="V38" s="27"/>
      <c r="W38" s="26" t="s">
        <v>704</v>
      </c>
      <c r="X38" s="27"/>
      <c r="Y38" s="414"/>
      <c r="Z38" s="414"/>
      <c r="AA38" s="414"/>
      <c r="AB38" s="414"/>
      <c r="AC38" s="414"/>
      <c r="AD38" s="414"/>
      <c r="AE38" s="414"/>
      <c r="AF38" s="414"/>
      <c r="AG38" s="414"/>
      <c r="AH38" s="414"/>
      <c r="AI38" s="414">
        <v>0.5</v>
      </c>
      <c r="AJ38" s="414">
        <v>0.5</v>
      </c>
      <c r="AK38" s="414"/>
      <c r="AL38" s="414"/>
      <c r="AM38" s="193"/>
      <c r="AN38" s="409">
        <f t="shared" si="6"/>
        <v>1</v>
      </c>
      <c r="AO38" s="399">
        <f ca="1">AN38*U38</f>
        <v>26.784874770933122</v>
      </c>
      <c r="AP38" s="265">
        <f ca="1">AO38*average_wage*(1+employer_contributions)</f>
        <v>1607.0924862559871</v>
      </c>
      <c r="AQ38" s="260">
        <f t="shared" ca="1" si="10"/>
        <v>1580.3076114850539</v>
      </c>
    </row>
    <row r="39" spans="1:43" s="260" customFormat="1" collapsed="1" x14ac:dyDescent="0.3">
      <c r="A39" s="26" t="s">
        <v>702</v>
      </c>
      <c r="B39" s="26" t="s">
        <v>185</v>
      </c>
      <c r="C39" s="27">
        <v>2</v>
      </c>
      <c r="D39" s="129" t="s">
        <v>695</v>
      </c>
      <c r="E39" s="279" t="s">
        <v>583</v>
      </c>
      <c r="F39" s="239"/>
      <c r="G39" s="239"/>
      <c r="H39" s="239"/>
      <c r="I39" s="234">
        <f>SUM(I38:I38)</f>
        <v>1494</v>
      </c>
      <c r="J39" s="234"/>
      <c r="K39" s="234"/>
      <c r="L39" s="261"/>
      <c r="M39" s="261"/>
      <c r="N39" s="645"/>
      <c r="O39" s="234">
        <f>SUM(O37:O38)</f>
        <v>0.86860465116279073</v>
      </c>
      <c r="P39" s="234">
        <f>SUM(P37:P38)</f>
        <v>38</v>
      </c>
      <c r="Q39" s="234">
        <f>SUM(Q37:Q38)</f>
        <v>42</v>
      </c>
      <c r="R39" s="235">
        <f xml:space="preserve"> 10^(LOG(Q39/P39)/LOG(Q$6/P$6)-1)</f>
        <v>0.12859578972254773</v>
      </c>
      <c r="S39" s="234">
        <f ca="1">SUM(S37:S38)</f>
        <v>32.190804289703273</v>
      </c>
      <c r="T39" s="235">
        <f ca="1">IFERROR(10^(LOG(U39/S39)/LOG(Q_prototype)-1),0)</f>
        <v>0.1</v>
      </c>
      <c r="U39" s="234">
        <f ca="1">SUM(U37:U38)</f>
        <v>32.190804289703273</v>
      </c>
      <c r="V39" s="140"/>
      <c r="W39" s="260" t="s">
        <v>690</v>
      </c>
      <c r="X39" s="140"/>
      <c r="Y39" s="310">
        <f ca="1">SUMPRODUCT($U37:$U38,Y37:Y38)</f>
        <v>0</v>
      </c>
      <c r="Z39" s="310">
        <f t="shared" ref="Z39:AL39" ca="1" si="20">SUMPRODUCT($U37:$U38,Z37:Z38)</f>
        <v>0</v>
      </c>
      <c r="AA39" s="310">
        <f t="shared" ca="1" si="20"/>
        <v>0</v>
      </c>
      <c r="AB39" s="310">
        <f t="shared" ca="1" si="20"/>
        <v>0</v>
      </c>
      <c r="AC39" s="310">
        <f t="shared" ca="1" si="20"/>
        <v>0</v>
      </c>
      <c r="AD39" s="310">
        <f t="shared" ca="1" si="20"/>
        <v>0</v>
      </c>
      <c r="AE39" s="310">
        <f t="shared" ca="1" si="20"/>
        <v>0</v>
      </c>
      <c r="AF39" s="310">
        <f t="shared" ca="1" si="20"/>
        <v>0</v>
      </c>
      <c r="AG39" s="310">
        <f t="shared" ca="1" si="20"/>
        <v>0</v>
      </c>
      <c r="AH39" s="310">
        <f t="shared" ca="1" si="20"/>
        <v>5.4059295187701499</v>
      </c>
      <c r="AI39" s="310">
        <f t="shared" ca="1" si="20"/>
        <v>13.392437385466561</v>
      </c>
      <c r="AJ39" s="310">
        <f t="shared" ca="1" si="20"/>
        <v>13.392437385466561</v>
      </c>
      <c r="AK39" s="310">
        <f t="shared" ca="1" si="20"/>
        <v>0</v>
      </c>
      <c r="AL39" s="310">
        <f t="shared" ca="1" si="20"/>
        <v>0</v>
      </c>
      <c r="AM39" s="140"/>
      <c r="AN39" s="308">
        <f t="shared" ca="1" si="6"/>
        <v>32.190804289703273</v>
      </c>
      <c r="AO39" s="308">
        <f ca="1">SUM(AO38:AO38)</f>
        <v>26.784874770933122</v>
      </c>
      <c r="AP39" s="234">
        <f ca="1">SUM(AP38:AP38)</f>
        <v>1607.0924862559871</v>
      </c>
      <c r="AQ39" s="458">
        <f ca="1">AP39-U39*(1+employer_contributions)*average_wage</f>
        <v>-324.35577112620922</v>
      </c>
    </row>
    <row r="40" spans="1:43" s="9" customFormat="1" hidden="1" outlineLevel="1" x14ac:dyDescent="0.3">
      <c r="A40" s="26"/>
      <c r="B40" s="26"/>
      <c r="C40"/>
      <c r="D40" s="139"/>
      <c r="N40" s="299"/>
      <c r="R40" s="267"/>
      <c r="S40" s="264"/>
      <c r="T40" s="267"/>
      <c r="U40" s="264"/>
      <c r="W40" s="26"/>
      <c r="Y40" s="385"/>
      <c r="Z40" s="385"/>
      <c r="AA40" s="385"/>
      <c r="AB40" s="385"/>
      <c r="AC40" s="385"/>
      <c r="AD40" s="385"/>
      <c r="AE40" s="385"/>
      <c r="AF40" s="385"/>
      <c r="AG40" s="385"/>
      <c r="AH40" s="385"/>
      <c r="AI40" s="385"/>
      <c r="AJ40" s="385"/>
      <c r="AK40" s="385"/>
      <c r="AL40" s="385"/>
      <c r="AN40" s="241"/>
      <c r="AO40" s="406"/>
      <c r="AP40" s="264"/>
      <c r="AQ40" s="260">
        <f t="shared" si="10"/>
        <v>0</v>
      </c>
    </row>
    <row r="41" spans="1:43" collapsed="1" x14ac:dyDescent="0.3">
      <c r="A41" s="26" t="s">
        <v>297</v>
      </c>
      <c r="B41" s="26" t="s">
        <v>185</v>
      </c>
      <c r="C41" s="27">
        <v>3</v>
      </c>
      <c r="D41" s="129" t="s">
        <v>695</v>
      </c>
      <c r="E41" s="231" t="s">
        <v>693</v>
      </c>
      <c r="F41" s="230"/>
      <c r="G41" s="230"/>
      <c r="H41" s="230"/>
      <c r="I41" s="229"/>
      <c r="J41" s="229"/>
      <c r="K41" s="229"/>
      <c r="L41" s="229"/>
      <c r="M41" s="229"/>
      <c r="N41" s="229"/>
      <c r="O41" s="230"/>
      <c r="P41" s="229">
        <f>P39+P35+P32+P20</f>
        <v>148.10835523255815</v>
      </c>
      <c r="Q41" s="229">
        <f>Q39+Q35+Q32+Q20</f>
        <v>168.96776627906976</v>
      </c>
      <c r="R41" s="405">
        <f xml:space="preserve"> 10^(LOG(Q41/P41)/LOG(Q$6/P$6)-1)</f>
        <v>0.13925196529050582</v>
      </c>
      <c r="S41" s="229">
        <f ca="1">S39+S35+S32+S20</f>
        <v>123.87956277749103</v>
      </c>
      <c r="T41" s="405">
        <f ca="1">IFERROR(10^(LOG(U41/S41)/LOG(Q_prototype)-1),0)</f>
        <v>0.1</v>
      </c>
      <c r="U41" s="229">
        <f ca="1">U39+U35+U32+U20</f>
        <v>123.87956277749103</v>
      </c>
      <c r="V41" s="26"/>
      <c r="W41" s="26" t="s">
        <v>695</v>
      </c>
      <c r="X41" s="26"/>
      <c r="Y41" s="313">
        <f t="shared" ref="Y41:AL41" ca="1" si="21">Y39+Y35+Y32+Y20</f>
        <v>0</v>
      </c>
      <c r="Z41" s="313">
        <f t="shared" ca="1" si="21"/>
        <v>8.5</v>
      </c>
      <c r="AA41" s="313">
        <f t="shared" ca="1" si="21"/>
        <v>8.5</v>
      </c>
      <c r="AB41" s="313">
        <f t="shared" ca="1" si="21"/>
        <v>8.5</v>
      </c>
      <c r="AC41" s="313">
        <f t="shared" ca="1" si="21"/>
        <v>20.406582393747033</v>
      </c>
      <c r="AD41" s="313">
        <f t="shared" ca="1" si="21"/>
        <v>20.406582393747033</v>
      </c>
      <c r="AE41" s="313">
        <f t="shared" ca="1" si="21"/>
        <v>8.4585312334312288</v>
      </c>
      <c r="AF41" s="313">
        <f t="shared" ca="1" si="21"/>
        <v>8.4585312334312288</v>
      </c>
      <c r="AG41" s="313">
        <f t="shared" ca="1" si="21"/>
        <v>8.4585312334312288</v>
      </c>
      <c r="AH41" s="313">
        <f t="shared" ca="1" si="21"/>
        <v>5.4059295187701499</v>
      </c>
      <c r="AI41" s="313">
        <f t="shared" ca="1" si="21"/>
        <v>13.392437385466561</v>
      </c>
      <c r="AJ41" s="313">
        <f t="shared" ca="1" si="21"/>
        <v>13.392437385466561</v>
      </c>
      <c r="AK41" s="313">
        <f t="shared" ca="1" si="21"/>
        <v>0</v>
      </c>
      <c r="AL41" s="313">
        <f t="shared" ca="1" si="21"/>
        <v>0</v>
      </c>
      <c r="AN41" s="314">
        <f t="shared" ca="1" si="6"/>
        <v>123.87956277749103</v>
      </c>
      <c r="AO41" s="314"/>
      <c r="AP41" s="314">
        <f ca="1">AP39+AP35+AP32+AP20</f>
        <v>7108.4179955232521</v>
      </c>
      <c r="AQ41" s="458">
        <f ca="1">AP41-U41*(1+employer_contributions)*average_wage</f>
        <v>-324.35577112620922</v>
      </c>
    </row>
    <row r="42" spans="1:43" s="9" customFormat="1" x14ac:dyDescent="0.3">
      <c r="A42" s="26" t="s">
        <v>297</v>
      </c>
      <c r="B42" s="26" t="s">
        <v>185</v>
      </c>
      <c r="C42" s="27">
        <v>3.5</v>
      </c>
      <c r="D42" s="129" t="s">
        <v>692</v>
      </c>
      <c r="E42" s="139" t="s">
        <v>681</v>
      </c>
      <c r="R42" s="267"/>
      <c r="S42" s="264"/>
      <c r="T42" s="267"/>
      <c r="U42" s="385"/>
      <c r="W42" s="9" t="s">
        <v>692</v>
      </c>
      <c r="Y42" s="385">
        <f ca="1">Y41*2</f>
        <v>0</v>
      </c>
      <c r="Z42" s="385">
        <f t="shared" ref="Z42:AL42" ca="1" si="22">Z41*2</f>
        <v>17</v>
      </c>
      <c r="AA42" s="385">
        <f t="shared" ca="1" si="22"/>
        <v>17</v>
      </c>
      <c r="AB42" s="385">
        <f t="shared" ca="1" si="22"/>
        <v>17</v>
      </c>
      <c r="AC42" s="385">
        <f t="shared" ca="1" si="22"/>
        <v>40.813164787494067</v>
      </c>
      <c r="AD42" s="385">
        <f t="shared" ca="1" si="22"/>
        <v>40.813164787494067</v>
      </c>
      <c r="AE42" s="385">
        <f t="shared" ca="1" si="22"/>
        <v>16.917062466862458</v>
      </c>
      <c r="AF42" s="385">
        <f t="shared" ca="1" si="22"/>
        <v>16.917062466862458</v>
      </c>
      <c r="AG42" s="385">
        <f t="shared" ca="1" si="22"/>
        <v>16.917062466862458</v>
      </c>
      <c r="AH42" s="385">
        <f t="shared" ca="1" si="22"/>
        <v>10.8118590375403</v>
      </c>
      <c r="AI42" s="385">
        <f t="shared" ca="1" si="22"/>
        <v>26.784874770933122</v>
      </c>
      <c r="AJ42" s="385">
        <f t="shared" ca="1" si="22"/>
        <v>26.784874770933122</v>
      </c>
      <c r="AK42" s="385">
        <f t="shared" ca="1" si="22"/>
        <v>0</v>
      </c>
      <c r="AL42" s="385">
        <f t="shared" ca="1" si="22"/>
        <v>0</v>
      </c>
      <c r="AN42" s="406">
        <f t="shared" ca="1" si="6"/>
        <v>247.75912555498206</v>
      </c>
      <c r="AO42" s="406"/>
      <c r="AP42" s="406"/>
      <c r="AQ42" s="260">
        <f t="shared" si="10"/>
        <v>0</v>
      </c>
    </row>
    <row r="43" spans="1:43" x14ac:dyDescent="0.3">
      <c r="C43"/>
      <c r="D43" s="139"/>
      <c r="E43" s="173"/>
      <c r="L43" s="26"/>
      <c r="M43" s="26"/>
      <c r="N43" s="26"/>
      <c r="O43" s="27"/>
      <c r="P43" s="167"/>
      <c r="Q43" s="27"/>
      <c r="V43" s="27"/>
      <c r="X43" s="27"/>
      <c r="Y43" s="26"/>
      <c r="AQ43" s="260">
        <f t="shared" si="10"/>
        <v>0</v>
      </c>
    </row>
    <row r="44" spans="1:43" hidden="1" outlineLevel="1" x14ac:dyDescent="0.3">
      <c r="B44" s="26" t="s">
        <v>185</v>
      </c>
      <c r="C44" s="27">
        <v>9</v>
      </c>
      <c r="D44" s="129" t="s">
        <v>707</v>
      </c>
      <c r="E44" s="289" t="s">
        <v>475</v>
      </c>
      <c r="L44" s="26"/>
      <c r="M44" s="26"/>
      <c r="N44" s="26"/>
      <c r="O44" s="27" t="s">
        <v>690</v>
      </c>
      <c r="P44" s="27" t="s">
        <v>690</v>
      </c>
      <c r="Q44" s="27" t="s">
        <v>690</v>
      </c>
      <c r="R44" s="27" t="s">
        <v>307</v>
      </c>
      <c r="S44" s="27" t="s">
        <v>690</v>
      </c>
      <c r="T44" s="27" t="s">
        <v>307</v>
      </c>
      <c r="U44" s="27" t="s">
        <v>690</v>
      </c>
      <c r="V44" s="27"/>
      <c r="X44" s="27"/>
      <c r="Y44" s="26"/>
      <c r="AQ44" s="260" t="e">
        <f t="shared" si="10"/>
        <v>#VALUE!</v>
      </c>
    </row>
    <row r="45" spans="1:43" hidden="1" outlineLevel="1" x14ac:dyDescent="0.3">
      <c r="C45"/>
      <c r="D45" s="139"/>
      <c r="L45" s="26"/>
      <c r="M45" s="26"/>
      <c r="N45" s="26"/>
      <c r="O45" s="27"/>
      <c r="P45" s="167"/>
      <c r="Q45" s="27"/>
      <c r="V45" s="27"/>
      <c r="X45" s="27"/>
      <c r="Y45" s="26"/>
      <c r="AQ45" s="260">
        <f t="shared" si="10"/>
        <v>0</v>
      </c>
    </row>
    <row r="46" spans="1:43" hidden="1" outlineLevel="1" x14ac:dyDescent="0.3">
      <c r="A46" s="26" t="s">
        <v>574</v>
      </c>
      <c r="B46" s="26" t="s">
        <v>185</v>
      </c>
      <c r="C46" s="27">
        <v>1</v>
      </c>
      <c r="D46" s="129" t="s">
        <v>707</v>
      </c>
      <c r="E46" s="293" t="s">
        <v>556</v>
      </c>
      <c r="L46" s="26"/>
      <c r="M46" s="26"/>
      <c r="N46" s="26"/>
      <c r="O46" s="27"/>
      <c r="P46" s="253">
        <v>500</v>
      </c>
      <c r="Q46" s="252">
        <f>P46</f>
        <v>500</v>
      </c>
      <c r="R46" s="298">
        <f xml:space="preserve"> 10^(LOG(Q46/P46)/LOG(Q$6/P$6)-1)</f>
        <v>0.1</v>
      </c>
      <c r="S46" s="32">
        <f ca="1">P46*(10*R46)^LOG(wing_area/ref_wing_area)</f>
        <v>500</v>
      </c>
      <c r="T46" s="396">
        <v>0.1</v>
      </c>
      <c r="U46" s="32">
        <f ca="1">S46*(10*T46)^LOG(Q_prototype)</f>
        <v>500</v>
      </c>
      <c r="V46" s="27"/>
      <c r="W46" s="26" t="s">
        <v>704</v>
      </c>
      <c r="X46" s="27"/>
      <c r="Y46" s="413"/>
      <c r="Z46" s="413">
        <v>0.5</v>
      </c>
      <c r="AA46" s="413">
        <v>0.5</v>
      </c>
      <c r="AB46" s="413"/>
      <c r="AC46" s="413"/>
      <c r="AD46" s="413"/>
      <c r="AE46" s="413"/>
      <c r="AF46" s="413"/>
      <c r="AG46" s="413"/>
      <c r="AH46" s="413"/>
      <c r="AI46" s="413"/>
      <c r="AJ46" s="413"/>
      <c r="AK46" s="413"/>
      <c r="AL46" s="413"/>
      <c r="AM46" s="193"/>
      <c r="AN46" s="408">
        <f t="shared" si="6"/>
        <v>1</v>
      </c>
      <c r="AO46" s="251"/>
      <c r="AP46" s="32">
        <f ca="1">U46*AN46</f>
        <v>500</v>
      </c>
      <c r="AQ46" s="260">
        <f t="shared" ca="1" si="10"/>
        <v>0</v>
      </c>
    </row>
    <row r="47" spans="1:43" hidden="1" outlineLevel="1" x14ac:dyDescent="0.3">
      <c r="A47" s="26" t="s">
        <v>574</v>
      </c>
      <c r="B47" s="26" t="s">
        <v>185</v>
      </c>
      <c r="C47" s="27">
        <v>1</v>
      </c>
      <c r="D47" s="129" t="s">
        <v>707</v>
      </c>
      <c r="E47" s="305" t="s">
        <v>369</v>
      </c>
      <c r="F47" s="144"/>
      <c r="G47" s="144"/>
      <c r="H47" s="144"/>
      <c r="I47" s="144"/>
      <c r="J47" s="144"/>
      <c r="K47" s="144"/>
      <c r="L47" s="144"/>
      <c r="M47" s="144"/>
      <c r="N47" s="144"/>
      <c r="O47" s="188"/>
      <c r="P47" s="290">
        <v>3000</v>
      </c>
      <c r="Q47" s="291">
        <f>P47*1.2</f>
        <v>3600</v>
      </c>
      <c r="R47" s="269">
        <f xml:space="preserve"> 10^(LOG(Q47/P47)/LOG(Q$6/P$6)-1)</f>
        <v>0.15811673821465591</v>
      </c>
      <c r="S47" s="265">
        <f ca="1">P47*(10*R47)^LOG(wing_area/ref_wing_area)</f>
        <v>2177.9189231034761</v>
      </c>
      <c r="T47" s="397">
        <v>0.1</v>
      </c>
      <c r="U47" s="265">
        <f ca="1">S47*(10*T47)^LOG(Q_prototype)</f>
        <v>2177.9189231034761</v>
      </c>
      <c r="V47" s="27"/>
      <c r="W47" s="26" t="s">
        <v>704</v>
      </c>
      <c r="X47" s="27"/>
      <c r="Y47" s="414"/>
      <c r="Z47" s="414"/>
      <c r="AA47" s="414"/>
      <c r="AB47" s="414">
        <v>0.5</v>
      </c>
      <c r="AC47" s="414">
        <v>0.5</v>
      </c>
      <c r="AD47" s="414"/>
      <c r="AE47" s="414"/>
      <c r="AF47" s="414"/>
      <c r="AG47" s="414"/>
      <c r="AH47" s="414"/>
      <c r="AI47" s="414"/>
      <c r="AJ47" s="414"/>
      <c r="AK47" s="414"/>
      <c r="AL47" s="414"/>
      <c r="AM47" s="193"/>
      <c r="AN47" s="409">
        <f t="shared" si="6"/>
        <v>1</v>
      </c>
      <c r="AO47" s="399"/>
      <c r="AP47" s="265">
        <f ca="1">U47*AN47</f>
        <v>2177.9189231034761</v>
      </c>
      <c r="AQ47" s="260">
        <f t="shared" ca="1" si="10"/>
        <v>0</v>
      </c>
    </row>
    <row r="48" spans="1:43" s="260" customFormat="1" collapsed="1" x14ac:dyDescent="0.3">
      <c r="A48" s="26" t="s">
        <v>574</v>
      </c>
      <c r="B48" s="26" t="s">
        <v>185</v>
      </c>
      <c r="C48" s="27">
        <v>2</v>
      </c>
      <c r="D48" s="129" t="s">
        <v>707</v>
      </c>
      <c r="E48" s="279" t="s">
        <v>578</v>
      </c>
      <c r="F48" s="239"/>
      <c r="G48" s="239"/>
      <c r="H48" s="239"/>
      <c r="I48" s="239"/>
      <c r="J48" s="239"/>
      <c r="K48" s="239"/>
      <c r="L48" s="261"/>
      <c r="M48" s="234"/>
      <c r="N48" s="294"/>
      <c r="O48" s="234"/>
      <c r="P48" s="234">
        <f>SUM(P46:P47)</f>
        <v>3500</v>
      </c>
      <c r="Q48" s="234">
        <f>SUM(Q46:Q47)</f>
        <v>4100</v>
      </c>
      <c r="R48" s="235">
        <f>10^(LOG(Q48/P48)/LOG(Q$6/P$6)-1)</f>
        <v>0.14882600471177601</v>
      </c>
      <c r="S48" s="234">
        <f ca="1">SUM(S46:S47)</f>
        <v>2677.9189231034761</v>
      </c>
      <c r="T48" s="235">
        <f ca="1">IFERROR(10^(LOG(U48/S48)/LOG(Q_prototype)-1),0)</f>
        <v>0.1</v>
      </c>
      <c r="U48" s="234">
        <f ca="1">SUM(U46:U47)</f>
        <v>2677.9189231034761</v>
      </c>
      <c r="V48" s="140"/>
      <c r="W48" s="260" t="s">
        <v>305</v>
      </c>
      <c r="X48" s="140"/>
      <c r="Y48" s="261">
        <f t="shared" ref="Y48:AL48" ca="1" si="23">SUMPRODUCT($U46:$U47,Y46:Y47)</f>
        <v>0</v>
      </c>
      <c r="Z48" s="261">
        <f t="shared" ca="1" si="23"/>
        <v>250</v>
      </c>
      <c r="AA48" s="261">
        <f t="shared" ca="1" si="23"/>
        <v>250</v>
      </c>
      <c r="AB48" s="261">
        <f t="shared" ca="1" si="23"/>
        <v>1088.9594615517381</v>
      </c>
      <c r="AC48" s="261">
        <f t="shared" ca="1" si="23"/>
        <v>1088.9594615517381</v>
      </c>
      <c r="AD48" s="261">
        <f t="shared" ca="1" si="23"/>
        <v>0</v>
      </c>
      <c r="AE48" s="261">
        <f t="shared" ca="1" si="23"/>
        <v>0</v>
      </c>
      <c r="AF48" s="261">
        <f t="shared" ca="1" si="23"/>
        <v>0</v>
      </c>
      <c r="AG48" s="261">
        <f t="shared" ca="1" si="23"/>
        <v>0</v>
      </c>
      <c r="AH48" s="261">
        <f t="shared" ca="1" si="23"/>
        <v>0</v>
      </c>
      <c r="AI48" s="261">
        <f t="shared" ca="1" si="23"/>
        <v>0</v>
      </c>
      <c r="AJ48" s="261">
        <f t="shared" ca="1" si="23"/>
        <v>0</v>
      </c>
      <c r="AK48" s="261">
        <f t="shared" ca="1" si="23"/>
        <v>0</v>
      </c>
      <c r="AL48" s="261">
        <f t="shared" ca="1" si="23"/>
        <v>0</v>
      </c>
      <c r="AM48" s="140"/>
      <c r="AN48" s="234">
        <f t="shared" ca="1" si="6"/>
        <v>2677.9189231034761</v>
      </c>
      <c r="AO48" s="308"/>
      <c r="AP48" s="234">
        <f ca="1">SUM(AP46:AP47)</f>
        <v>2677.9189231034761</v>
      </c>
      <c r="AQ48" s="260">
        <f t="shared" ca="1" si="10"/>
        <v>0</v>
      </c>
    </row>
    <row r="49" spans="1:43" hidden="1" outlineLevel="1" x14ac:dyDescent="0.3">
      <c r="C49"/>
      <c r="D49" s="139"/>
      <c r="E49" s="128"/>
      <c r="L49" s="26"/>
      <c r="M49" s="27" t="s">
        <v>883</v>
      </c>
      <c r="N49" s="26"/>
      <c r="O49" s="27"/>
      <c r="P49" s="167"/>
      <c r="Q49" s="252"/>
      <c r="R49" s="268"/>
      <c r="S49" s="32"/>
      <c r="T49" s="268"/>
      <c r="U49" s="32"/>
      <c r="V49" s="27"/>
      <c r="X49" s="27"/>
      <c r="Y49" s="26"/>
      <c r="AB49" s="339"/>
      <c r="AC49" s="339"/>
      <c r="AO49" s="251"/>
      <c r="AP49" s="32"/>
      <c r="AQ49" s="260">
        <f t="shared" si="10"/>
        <v>0</v>
      </c>
    </row>
    <row r="50" spans="1:43" hidden="1" outlineLevel="1" x14ac:dyDescent="0.3">
      <c r="A50" s="26" t="s">
        <v>576</v>
      </c>
      <c r="B50" s="26" t="s">
        <v>185</v>
      </c>
      <c r="C50" s="27">
        <v>1</v>
      </c>
      <c r="D50" s="129" t="s">
        <v>707</v>
      </c>
      <c r="E50" s="138" t="s">
        <v>324</v>
      </c>
      <c r="F50" s="135"/>
      <c r="G50" s="135"/>
      <c r="H50" s="135"/>
      <c r="I50" s="135"/>
      <c r="J50" s="135"/>
      <c r="K50" s="135"/>
      <c r="L50" s="26"/>
      <c r="M50" s="168">
        <v>1.2</v>
      </c>
      <c r="N50" s="26"/>
      <c r="O50" s="27"/>
      <c r="P50" s="131">
        <v>1000</v>
      </c>
      <c r="Q50" s="142">
        <f t="shared" ref="Q50:Q59" si="24">P50*M50</f>
        <v>1200</v>
      </c>
      <c r="R50" s="191">
        <f t="shared" ref="R50:R60" si="25">10^(LOG(Q50/P50)/LOG(Q$6/P$6)-1)</f>
        <v>0.15811673821465591</v>
      </c>
      <c r="S50" s="32">
        <f t="shared" ref="S50:S59" ca="1" si="26">P50*(10*R50)^LOG(wing_area/ref_wing_area)</f>
        <v>725.97297436782537</v>
      </c>
      <c r="T50" s="396">
        <v>0.1</v>
      </c>
      <c r="U50" s="32">
        <f t="shared" ref="U50:U59" ca="1" si="27">S50*(10*T50)^LOG(Q_prototype)</f>
        <v>725.97297436782537</v>
      </c>
      <c r="V50" s="27"/>
      <c r="W50" s="26" t="s">
        <v>704</v>
      </c>
      <c r="X50" s="27"/>
      <c r="Y50" s="413"/>
      <c r="Z50" s="413"/>
      <c r="AA50" s="413"/>
      <c r="AB50" s="413"/>
      <c r="AC50" s="413">
        <v>1</v>
      </c>
      <c r="AD50" s="413"/>
      <c r="AE50" s="413"/>
      <c r="AF50" s="413"/>
      <c r="AG50" s="413"/>
      <c r="AH50" s="413"/>
      <c r="AI50" s="413"/>
      <c r="AJ50" s="413"/>
      <c r="AK50" s="413"/>
      <c r="AL50" s="413"/>
      <c r="AM50" s="193"/>
      <c r="AN50" s="408">
        <f t="shared" si="6"/>
        <v>1</v>
      </c>
      <c r="AO50" s="251"/>
      <c r="AP50" s="32">
        <f t="shared" ref="AP50:AP59" ca="1" si="28">U50*AN50</f>
        <v>725.97297436782537</v>
      </c>
      <c r="AQ50" s="260">
        <f t="shared" ca="1" si="10"/>
        <v>0</v>
      </c>
    </row>
    <row r="51" spans="1:43" hidden="1" outlineLevel="1" x14ac:dyDescent="0.3">
      <c r="A51" s="26" t="s">
        <v>576</v>
      </c>
      <c r="B51" s="26" t="s">
        <v>185</v>
      </c>
      <c r="C51" s="27">
        <v>1</v>
      </c>
      <c r="D51" s="129" t="s">
        <v>707</v>
      </c>
      <c r="E51" s="138" t="s">
        <v>325</v>
      </c>
      <c r="F51" s="135"/>
      <c r="G51" s="135"/>
      <c r="H51" s="135"/>
      <c r="I51" s="135"/>
      <c r="J51" s="135"/>
      <c r="K51" s="135"/>
      <c r="L51" s="26"/>
      <c r="M51" s="168">
        <v>1.3</v>
      </c>
      <c r="N51" s="26"/>
      <c r="O51" s="27"/>
      <c r="P51" s="131">
        <v>4000</v>
      </c>
      <c r="Q51" s="142">
        <f t="shared" si="24"/>
        <v>5200</v>
      </c>
      <c r="R51" s="191">
        <f t="shared" si="25"/>
        <v>0.19334501957820596</v>
      </c>
      <c r="S51" s="32">
        <f t="shared" ca="1" si="26"/>
        <v>2523.0265487891734</v>
      </c>
      <c r="T51" s="396">
        <v>0.1</v>
      </c>
      <c r="U51" s="32">
        <f t="shared" ca="1" si="27"/>
        <v>2523.0265487891734</v>
      </c>
      <c r="V51" s="27"/>
      <c r="W51" s="26" t="s">
        <v>704</v>
      </c>
      <c r="X51" s="27"/>
      <c r="Y51" s="413"/>
      <c r="Z51" s="413"/>
      <c r="AA51" s="413"/>
      <c r="AB51" s="413"/>
      <c r="AC51" s="413"/>
      <c r="AD51" s="413">
        <v>1</v>
      </c>
      <c r="AE51" s="413"/>
      <c r="AF51" s="413"/>
      <c r="AG51" s="413"/>
      <c r="AH51" s="413"/>
      <c r="AI51" s="413"/>
      <c r="AJ51" s="413"/>
      <c r="AK51" s="413"/>
      <c r="AL51" s="413"/>
      <c r="AM51" s="193"/>
      <c r="AN51" s="408">
        <f t="shared" si="6"/>
        <v>1</v>
      </c>
      <c r="AO51" s="251"/>
      <c r="AP51" s="32">
        <f t="shared" ca="1" si="28"/>
        <v>2523.0265487891734</v>
      </c>
      <c r="AQ51" s="260">
        <f t="shared" ca="1" si="10"/>
        <v>0</v>
      </c>
    </row>
    <row r="52" spans="1:43" hidden="1" outlineLevel="1" x14ac:dyDescent="0.3">
      <c r="A52" s="26" t="s">
        <v>577</v>
      </c>
      <c r="B52" s="26" t="s">
        <v>185</v>
      </c>
      <c r="C52" s="27">
        <v>1</v>
      </c>
      <c r="D52" s="129" t="s">
        <v>707</v>
      </c>
      <c r="E52" s="138" t="s">
        <v>326</v>
      </c>
      <c r="F52" s="135"/>
      <c r="G52" s="135"/>
      <c r="H52" s="135"/>
      <c r="I52" s="135"/>
      <c r="J52" s="135"/>
      <c r="K52" s="135"/>
      <c r="L52" s="26"/>
      <c r="M52" s="168">
        <v>1</v>
      </c>
      <c r="N52" s="26"/>
      <c r="O52" s="27"/>
      <c r="P52" s="131">
        <v>150</v>
      </c>
      <c r="Q52" s="142">
        <f t="shared" si="24"/>
        <v>150</v>
      </c>
      <c r="R52" s="191">
        <f t="shared" si="25"/>
        <v>0.1</v>
      </c>
      <c r="S52" s="32">
        <f t="shared" ca="1" si="26"/>
        <v>150</v>
      </c>
      <c r="T52" s="396">
        <v>0.1</v>
      </c>
      <c r="U52" s="32">
        <f t="shared" ca="1" si="27"/>
        <v>150</v>
      </c>
      <c r="V52" s="27"/>
      <c r="W52" s="26" t="s">
        <v>704</v>
      </c>
      <c r="X52" s="27"/>
      <c r="Y52" s="413"/>
      <c r="Z52" s="413"/>
      <c r="AA52" s="413"/>
      <c r="AB52" s="413"/>
      <c r="AC52" s="413">
        <v>1</v>
      </c>
      <c r="AD52" s="413"/>
      <c r="AE52" s="413"/>
      <c r="AF52" s="413"/>
      <c r="AG52" s="413"/>
      <c r="AH52" s="413"/>
      <c r="AI52" s="413"/>
      <c r="AJ52" s="413"/>
      <c r="AK52" s="413"/>
      <c r="AL52" s="413"/>
      <c r="AM52" s="193"/>
      <c r="AN52" s="408">
        <f t="shared" si="6"/>
        <v>1</v>
      </c>
      <c r="AO52" s="251"/>
      <c r="AP52" s="32">
        <f t="shared" ca="1" si="28"/>
        <v>150</v>
      </c>
      <c r="AQ52" s="260">
        <f t="shared" ca="1" si="10"/>
        <v>0</v>
      </c>
    </row>
    <row r="53" spans="1:43" hidden="1" outlineLevel="1" x14ac:dyDescent="0.3">
      <c r="A53" s="26" t="s">
        <v>577</v>
      </c>
      <c r="B53" s="26" t="s">
        <v>185</v>
      </c>
      <c r="C53" s="27">
        <v>1</v>
      </c>
      <c r="D53" s="129" t="s">
        <v>707</v>
      </c>
      <c r="E53" s="138" t="s">
        <v>327</v>
      </c>
      <c r="F53" s="135"/>
      <c r="G53" s="135"/>
      <c r="H53" s="135"/>
      <c r="I53" s="135"/>
      <c r="J53" s="135"/>
      <c r="K53" s="135"/>
      <c r="L53" s="26"/>
      <c r="M53" s="168">
        <v>1.5</v>
      </c>
      <c r="N53" s="26"/>
      <c r="O53" s="27"/>
      <c r="P53" s="131">
        <v>1500</v>
      </c>
      <c r="Q53" s="142">
        <f t="shared" si="24"/>
        <v>2250</v>
      </c>
      <c r="R53" s="191">
        <f t="shared" si="25"/>
        <v>0.27701740035088379</v>
      </c>
      <c r="S53" s="32">
        <f t="shared" ca="1" si="26"/>
        <v>735.85476224332331</v>
      </c>
      <c r="T53" s="396">
        <v>0.1</v>
      </c>
      <c r="U53" s="32">
        <f t="shared" ca="1" si="27"/>
        <v>735.85476224332331</v>
      </c>
      <c r="V53" s="27"/>
      <c r="W53" s="26" t="s">
        <v>704</v>
      </c>
      <c r="X53" s="27"/>
      <c r="Y53" s="413"/>
      <c r="Z53" s="413"/>
      <c r="AA53" s="413"/>
      <c r="AB53" s="413"/>
      <c r="AC53" s="413"/>
      <c r="AD53" s="413">
        <v>1</v>
      </c>
      <c r="AE53" s="413"/>
      <c r="AF53" s="413"/>
      <c r="AG53" s="413"/>
      <c r="AH53" s="413"/>
      <c r="AI53" s="413"/>
      <c r="AJ53" s="413"/>
      <c r="AK53" s="413"/>
      <c r="AL53" s="413"/>
      <c r="AM53" s="193"/>
      <c r="AN53" s="408">
        <f t="shared" si="6"/>
        <v>1</v>
      </c>
      <c r="AO53" s="251"/>
      <c r="AP53" s="32">
        <f t="shared" ca="1" si="28"/>
        <v>735.85476224332331</v>
      </c>
      <c r="AQ53" s="260">
        <f t="shared" ca="1" si="10"/>
        <v>0</v>
      </c>
    </row>
    <row r="54" spans="1:43" hidden="1" outlineLevel="1" x14ac:dyDescent="0.3">
      <c r="A54" s="26" t="s">
        <v>575</v>
      </c>
      <c r="B54" s="26" t="s">
        <v>185</v>
      </c>
      <c r="C54" s="27">
        <v>1</v>
      </c>
      <c r="D54" s="129" t="s">
        <v>707</v>
      </c>
      <c r="E54" s="138" t="s">
        <v>328</v>
      </c>
      <c r="F54" s="135"/>
      <c r="G54" s="135"/>
      <c r="H54" s="135"/>
      <c r="I54" s="135"/>
      <c r="J54" s="135"/>
      <c r="K54" s="135"/>
      <c r="L54" s="26"/>
      <c r="M54" s="168">
        <v>2</v>
      </c>
      <c r="N54" s="26"/>
      <c r="O54" s="27"/>
      <c r="P54" s="131">
        <v>3000</v>
      </c>
      <c r="Q54" s="142">
        <f t="shared" si="24"/>
        <v>6000</v>
      </c>
      <c r="R54" s="191">
        <f t="shared" si="25"/>
        <v>0.57078269456856334</v>
      </c>
      <c r="S54" s="32">
        <f t="shared" ca="1" si="26"/>
        <v>887.91390700410079</v>
      </c>
      <c r="T54" s="481">
        <v>0.5</v>
      </c>
      <c r="U54" s="32">
        <f t="shared" ca="1" si="27"/>
        <v>1441.3909653781545</v>
      </c>
      <c r="V54" s="27"/>
      <c r="W54" s="26" t="s">
        <v>704</v>
      </c>
      <c r="X54" s="27"/>
      <c r="Y54" s="413"/>
      <c r="Z54" s="413"/>
      <c r="AA54" s="413"/>
      <c r="AB54" s="413"/>
      <c r="AC54" s="413"/>
      <c r="AD54" s="413"/>
      <c r="AE54" s="413">
        <v>0.5</v>
      </c>
      <c r="AF54" s="413">
        <v>0.5</v>
      </c>
      <c r="AG54" s="413"/>
      <c r="AH54" s="413"/>
      <c r="AI54" s="413"/>
      <c r="AJ54" s="413"/>
      <c r="AK54" s="413"/>
      <c r="AL54" s="413"/>
      <c r="AM54" s="193"/>
      <c r="AN54" s="408">
        <f t="shared" si="6"/>
        <v>1</v>
      </c>
      <c r="AO54" s="251"/>
      <c r="AP54" s="32">
        <f t="shared" ca="1" si="28"/>
        <v>1441.3909653781545</v>
      </c>
      <c r="AQ54" s="260">
        <f t="shared" ca="1" si="10"/>
        <v>0</v>
      </c>
    </row>
    <row r="55" spans="1:43" hidden="1" outlineLevel="1" x14ac:dyDescent="0.3">
      <c r="A55" s="26" t="s">
        <v>575</v>
      </c>
      <c r="B55" s="26" t="s">
        <v>185</v>
      </c>
      <c r="C55" s="27">
        <v>1</v>
      </c>
      <c r="D55" s="129" t="s">
        <v>707</v>
      </c>
      <c r="E55" s="138" t="s">
        <v>329</v>
      </c>
      <c r="F55" s="135"/>
      <c r="G55" s="135"/>
      <c r="H55" s="135"/>
      <c r="I55" s="135"/>
      <c r="J55" s="135"/>
      <c r="K55" s="135"/>
      <c r="L55" s="26"/>
      <c r="M55" s="168">
        <v>1.5</v>
      </c>
      <c r="N55" s="26"/>
      <c r="O55" s="27"/>
      <c r="P55" s="131">
        <v>750</v>
      </c>
      <c r="Q55" s="142">
        <f t="shared" si="24"/>
        <v>1125</v>
      </c>
      <c r="R55" s="191">
        <f t="shared" si="25"/>
        <v>0.27701740035088379</v>
      </c>
      <c r="S55" s="32">
        <f t="shared" ca="1" si="26"/>
        <v>367.92738112166165</v>
      </c>
      <c r="T55" s="481">
        <v>0.5</v>
      </c>
      <c r="U55" s="32">
        <f t="shared" ca="1" si="27"/>
        <v>597.27322534386076</v>
      </c>
      <c r="V55" s="27"/>
      <c r="W55" s="26" t="s">
        <v>704</v>
      </c>
      <c r="X55" s="27"/>
      <c r="Y55" s="413"/>
      <c r="Z55" s="413"/>
      <c r="AA55" s="413"/>
      <c r="AB55" s="413"/>
      <c r="AC55" s="413"/>
      <c r="AD55" s="413"/>
      <c r="AE55" s="413"/>
      <c r="AF55" s="413"/>
      <c r="AG55" s="413">
        <v>1</v>
      </c>
      <c r="AH55" s="413"/>
      <c r="AI55" s="413"/>
      <c r="AJ55" s="413"/>
      <c r="AK55" s="413"/>
      <c r="AL55" s="413"/>
      <c r="AM55" s="193"/>
      <c r="AN55" s="408">
        <f t="shared" si="6"/>
        <v>1</v>
      </c>
      <c r="AO55" s="251"/>
      <c r="AP55" s="32">
        <f t="shared" ca="1" si="28"/>
        <v>597.27322534386076</v>
      </c>
      <c r="AQ55" s="260">
        <f t="shared" ca="1" si="10"/>
        <v>0</v>
      </c>
    </row>
    <row r="56" spans="1:43" hidden="1" outlineLevel="1" x14ac:dyDescent="0.3">
      <c r="A56" s="26" t="s">
        <v>576</v>
      </c>
      <c r="B56" s="26" t="s">
        <v>185</v>
      </c>
      <c r="C56" s="27">
        <v>1</v>
      </c>
      <c r="D56" s="129" t="s">
        <v>707</v>
      </c>
      <c r="E56" s="138" t="s">
        <v>330</v>
      </c>
      <c r="F56" s="135"/>
      <c r="G56" s="135"/>
      <c r="H56" s="135"/>
      <c r="I56" s="135"/>
      <c r="J56" s="135"/>
      <c r="K56" s="135"/>
      <c r="L56" s="26"/>
      <c r="M56" s="168">
        <v>1</v>
      </c>
      <c r="N56" s="26"/>
      <c r="O56" s="27"/>
      <c r="P56" s="131">
        <v>250</v>
      </c>
      <c r="Q56" s="142">
        <f t="shared" si="24"/>
        <v>250</v>
      </c>
      <c r="R56" s="191">
        <f t="shared" si="25"/>
        <v>0.1</v>
      </c>
      <c r="S56" s="32">
        <f t="shared" ca="1" si="26"/>
        <v>250</v>
      </c>
      <c r="T56" s="396">
        <v>0.1</v>
      </c>
      <c r="U56" s="32">
        <f t="shared" ca="1" si="27"/>
        <v>250</v>
      </c>
      <c r="V56" s="27"/>
      <c r="W56" s="26" t="s">
        <v>704</v>
      </c>
      <c r="X56" s="27"/>
      <c r="Y56" s="413"/>
      <c r="Z56" s="413"/>
      <c r="AA56" s="413"/>
      <c r="AB56" s="413"/>
      <c r="AC56" s="413"/>
      <c r="AD56" s="413"/>
      <c r="AE56" s="413">
        <v>0.5</v>
      </c>
      <c r="AF56" s="413">
        <v>0.5</v>
      </c>
      <c r="AG56" s="413"/>
      <c r="AH56" s="413"/>
      <c r="AI56" s="413"/>
      <c r="AJ56" s="413"/>
      <c r="AK56" s="413"/>
      <c r="AL56" s="413"/>
      <c r="AM56" s="193"/>
      <c r="AN56" s="408">
        <f t="shared" si="6"/>
        <v>1</v>
      </c>
      <c r="AO56" s="251"/>
      <c r="AP56" s="32">
        <f t="shared" ca="1" si="28"/>
        <v>250</v>
      </c>
      <c r="AQ56" s="260">
        <f t="shared" ca="1" si="10"/>
        <v>0</v>
      </c>
    </row>
    <row r="57" spans="1:43" hidden="1" outlineLevel="1" x14ac:dyDescent="0.3">
      <c r="A57" s="26" t="s">
        <v>575</v>
      </c>
      <c r="B57" s="26" t="s">
        <v>185</v>
      </c>
      <c r="C57" s="27">
        <v>1</v>
      </c>
      <c r="D57" s="129" t="s">
        <v>707</v>
      </c>
      <c r="E57" s="138" t="s">
        <v>331</v>
      </c>
      <c r="F57" s="135"/>
      <c r="G57" s="135"/>
      <c r="H57" s="135"/>
      <c r="I57" s="135"/>
      <c r="J57" s="135"/>
      <c r="K57" s="135"/>
      <c r="L57" s="26"/>
      <c r="M57" s="168">
        <v>1.5</v>
      </c>
      <c r="N57" s="26"/>
      <c r="O57" s="27"/>
      <c r="P57" s="131">
        <v>500</v>
      </c>
      <c r="Q57" s="142">
        <f t="shared" si="24"/>
        <v>750</v>
      </c>
      <c r="R57" s="191">
        <f t="shared" si="25"/>
        <v>0.27701740035088379</v>
      </c>
      <c r="S57" s="32">
        <f t="shared" ca="1" si="26"/>
        <v>245.28492074777444</v>
      </c>
      <c r="T57" s="481">
        <v>0.2</v>
      </c>
      <c r="U57" s="32">
        <f t="shared" ca="1" si="27"/>
        <v>302.19683283946358</v>
      </c>
      <c r="V57" s="27"/>
      <c r="W57" s="26" t="s">
        <v>704</v>
      </c>
      <c r="X57" s="27"/>
      <c r="Y57" s="413"/>
      <c r="Z57" s="413"/>
      <c r="AA57" s="413"/>
      <c r="AB57" s="413"/>
      <c r="AC57" s="413"/>
      <c r="AD57" s="413"/>
      <c r="AE57" s="413">
        <v>0.5</v>
      </c>
      <c r="AF57" s="413">
        <v>0.5</v>
      </c>
      <c r="AG57" s="413"/>
      <c r="AH57" s="413"/>
      <c r="AI57" s="413"/>
      <c r="AJ57" s="413"/>
      <c r="AK57" s="413"/>
      <c r="AL57" s="413"/>
      <c r="AM57" s="193"/>
      <c r="AN57" s="408">
        <f t="shared" si="6"/>
        <v>1</v>
      </c>
      <c r="AO57" s="251"/>
      <c r="AP57" s="32">
        <f t="shared" ca="1" si="28"/>
        <v>302.19683283946358</v>
      </c>
      <c r="AQ57" s="260">
        <f t="shared" ca="1" si="10"/>
        <v>0</v>
      </c>
    </row>
    <row r="58" spans="1:43" hidden="1" outlineLevel="1" x14ac:dyDescent="0.3">
      <c r="A58" s="26" t="s">
        <v>575</v>
      </c>
      <c r="B58" s="26" t="s">
        <v>185</v>
      </c>
      <c r="C58" s="27">
        <v>1</v>
      </c>
      <c r="D58" s="129" t="s">
        <v>707</v>
      </c>
      <c r="E58" s="138" t="s">
        <v>332</v>
      </c>
      <c r="F58" s="135"/>
      <c r="G58" s="135"/>
      <c r="H58" s="135"/>
      <c r="I58" s="135"/>
      <c r="J58" s="135"/>
      <c r="K58" s="135"/>
      <c r="L58" s="26"/>
      <c r="M58" s="168">
        <v>1.2</v>
      </c>
      <c r="N58" s="26"/>
      <c r="O58" s="27"/>
      <c r="P58" s="131">
        <v>100</v>
      </c>
      <c r="Q58" s="142">
        <f t="shared" si="24"/>
        <v>120</v>
      </c>
      <c r="R58" s="191">
        <f t="shared" si="25"/>
        <v>0.15811673821465591</v>
      </c>
      <c r="S58" s="32">
        <f t="shared" ca="1" si="26"/>
        <v>72.59729743678254</v>
      </c>
      <c r="T58" s="481">
        <v>0.8</v>
      </c>
      <c r="U58" s="32">
        <f t="shared" ca="1" si="27"/>
        <v>135.76181282877079</v>
      </c>
      <c r="V58" s="27"/>
      <c r="W58" s="26" t="s">
        <v>704</v>
      </c>
      <c r="X58" s="27"/>
      <c r="Y58" s="413"/>
      <c r="Z58" s="413"/>
      <c r="AA58" s="413"/>
      <c r="AB58" s="413"/>
      <c r="AC58" s="413"/>
      <c r="AD58" s="413"/>
      <c r="AE58" s="413"/>
      <c r="AF58" s="413"/>
      <c r="AG58" s="413">
        <v>1</v>
      </c>
      <c r="AH58" s="413"/>
      <c r="AI58" s="413"/>
      <c r="AJ58" s="413"/>
      <c r="AK58" s="413"/>
      <c r="AL58" s="413"/>
      <c r="AM58" s="193"/>
      <c r="AN58" s="408">
        <f t="shared" si="6"/>
        <v>1</v>
      </c>
      <c r="AO58" s="251"/>
      <c r="AP58" s="32">
        <f t="shared" ca="1" si="28"/>
        <v>135.76181282877079</v>
      </c>
      <c r="AQ58" s="260">
        <f t="shared" ca="1" si="10"/>
        <v>0</v>
      </c>
    </row>
    <row r="59" spans="1:43" hidden="1" outlineLevel="1" x14ac:dyDescent="0.3">
      <c r="A59" s="26" t="s">
        <v>575</v>
      </c>
      <c r="B59" s="26" t="s">
        <v>185</v>
      </c>
      <c r="C59" s="27">
        <v>1</v>
      </c>
      <c r="D59" s="129" t="s">
        <v>707</v>
      </c>
      <c r="E59" s="285" t="s">
        <v>333</v>
      </c>
      <c r="F59" s="187"/>
      <c r="G59" s="187"/>
      <c r="H59" s="187"/>
      <c r="I59" s="187"/>
      <c r="J59" s="187"/>
      <c r="K59" s="187"/>
      <c r="L59" s="144"/>
      <c r="M59" s="484">
        <v>2.5</v>
      </c>
      <c r="N59" s="144"/>
      <c r="O59" s="188"/>
      <c r="P59" s="184">
        <v>50</v>
      </c>
      <c r="Q59" s="143">
        <f t="shared" si="24"/>
        <v>125</v>
      </c>
      <c r="R59" s="270">
        <f t="shared" si="25"/>
        <v>1</v>
      </c>
      <c r="S59" s="265">
        <f t="shared" ca="1" si="26"/>
        <v>10.000000000000002</v>
      </c>
      <c r="T59" s="482">
        <v>0.8</v>
      </c>
      <c r="U59" s="265">
        <f t="shared" ca="1" si="27"/>
        <v>18.700670358561446</v>
      </c>
      <c r="V59" s="27"/>
      <c r="W59" s="26" t="s">
        <v>704</v>
      </c>
      <c r="X59" s="27"/>
      <c r="Y59" s="414"/>
      <c r="Z59" s="414"/>
      <c r="AA59" s="414"/>
      <c r="AB59" s="414"/>
      <c r="AC59" s="414"/>
      <c r="AD59" s="414"/>
      <c r="AE59" s="414"/>
      <c r="AF59" s="414"/>
      <c r="AG59" s="414">
        <v>1</v>
      </c>
      <c r="AH59" s="414"/>
      <c r="AI59" s="414"/>
      <c r="AJ59" s="414"/>
      <c r="AK59" s="414"/>
      <c r="AL59" s="414"/>
      <c r="AM59" s="193"/>
      <c r="AN59" s="409">
        <f t="shared" si="6"/>
        <v>1</v>
      </c>
      <c r="AO59" s="399"/>
      <c r="AP59" s="265">
        <f t="shared" ca="1" si="28"/>
        <v>18.700670358561446</v>
      </c>
      <c r="AQ59" s="260">
        <f t="shared" ca="1" si="10"/>
        <v>0</v>
      </c>
    </row>
    <row r="60" spans="1:43" s="260" customFormat="1" collapsed="1" x14ac:dyDescent="0.3">
      <c r="B60" s="260" t="s">
        <v>185</v>
      </c>
      <c r="C60" s="27">
        <v>2</v>
      </c>
      <c r="D60" s="129" t="s">
        <v>707</v>
      </c>
      <c r="E60" s="279" t="s">
        <v>555</v>
      </c>
      <c r="F60" s="239"/>
      <c r="G60" s="239"/>
      <c r="H60" s="239"/>
      <c r="I60" s="239"/>
      <c r="J60" s="239"/>
      <c r="K60" s="239"/>
      <c r="L60" s="261"/>
      <c r="M60" s="234"/>
      <c r="N60" s="294"/>
      <c r="O60" s="234"/>
      <c r="P60" s="234">
        <f>SUM(P50:P59)</f>
        <v>11300</v>
      </c>
      <c r="Q60" s="234">
        <f>SUM(Q50:Q59)</f>
        <v>17170</v>
      </c>
      <c r="R60" s="235">
        <f t="shared" si="25"/>
        <v>0.28614160676181133</v>
      </c>
      <c r="S60" s="234">
        <f ca="1">SUM(S50:S59)</f>
        <v>5968.5777917106416</v>
      </c>
      <c r="T60" s="235">
        <f ca="1">IFERROR(10^(LOG(U60/S60)/LOG(Q_prototype)-1),0)</f>
        <v>0.16034618926945654</v>
      </c>
      <c r="U60" s="234">
        <f ca="1">SUM(U50:U59)</f>
        <v>6880.1777921491321</v>
      </c>
      <c r="V60" s="140"/>
      <c r="W60" s="260" t="s">
        <v>305</v>
      </c>
      <c r="X60" s="140"/>
      <c r="Y60" s="261">
        <f t="shared" ref="Y60:AL60" ca="1" si="29">SUMPRODUCT($U50:$U59,Y50:Y59)</f>
        <v>0</v>
      </c>
      <c r="Z60" s="261">
        <f t="shared" ca="1" si="29"/>
        <v>0</v>
      </c>
      <c r="AA60" s="261">
        <f t="shared" ca="1" si="29"/>
        <v>0</v>
      </c>
      <c r="AB60" s="261">
        <f t="shared" ca="1" si="29"/>
        <v>0</v>
      </c>
      <c r="AC60" s="261">
        <f t="shared" ca="1" si="29"/>
        <v>875.97297436782537</v>
      </c>
      <c r="AD60" s="261">
        <f t="shared" ca="1" si="29"/>
        <v>3258.8813110324968</v>
      </c>
      <c r="AE60" s="261">
        <f t="shared" ca="1" si="29"/>
        <v>996.793899108809</v>
      </c>
      <c r="AF60" s="261">
        <f t="shared" ca="1" si="29"/>
        <v>996.793899108809</v>
      </c>
      <c r="AG60" s="261">
        <f t="shared" ca="1" si="29"/>
        <v>751.73570853119293</v>
      </c>
      <c r="AH60" s="261">
        <f t="shared" ca="1" si="29"/>
        <v>0</v>
      </c>
      <c r="AI60" s="261">
        <f t="shared" ca="1" si="29"/>
        <v>0</v>
      </c>
      <c r="AJ60" s="261">
        <f t="shared" ca="1" si="29"/>
        <v>0</v>
      </c>
      <c r="AK60" s="261">
        <f t="shared" ca="1" si="29"/>
        <v>0</v>
      </c>
      <c r="AL60" s="261">
        <f t="shared" ca="1" si="29"/>
        <v>0</v>
      </c>
      <c r="AM60" s="140"/>
      <c r="AN60" s="234">
        <f t="shared" ca="1" si="6"/>
        <v>6880.177792149133</v>
      </c>
      <c r="AO60" s="308"/>
      <c r="AP60" s="234">
        <f ca="1">SUM(AP50:AP59)</f>
        <v>6880.1777921491321</v>
      </c>
      <c r="AQ60" s="260">
        <f t="shared" ca="1" si="10"/>
        <v>0</v>
      </c>
    </row>
    <row r="61" spans="1:43" hidden="1" outlineLevel="1" x14ac:dyDescent="0.3">
      <c r="C61"/>
      <c r="D61" s="139"/>
      <c r="E61" s="128"/>
      <c r="L61" t="s">
        <v>881</v>
      </c>
      <c r="M61" t="s">
        <v>882</v>
      </c>
      <c r="N61"/>
      <c r="O61" s="166"/>
      <c r="P61" s="166"/>
      <c r="Q61" s="166"/>
      <c r="R61" s="271"/>
      <c r="S61" s="166"/>
      <c r="T61" s="271"/>
      <c r="U61" s="166"/>
      <c r="V61" s="27"/>
      <c r="X61" s="27"/>
      <c r="Y61" s="26"/>
      <c r="AO61" s="431"/>
      <c r="AP61" s="166"/>
      <c r="AQ61" s="260">
        <f t="shared" si="10"/>
        <v>0</v>
      </c>
    </row>
    <row r="62" spans="1:43" hidden="1" outlineLevel="1" x14ac:dyDescent="0.3">
      <c r="A62" s="26" t="s">
        <v>575</v>
      </c>
      <c r="B62" s="26" t="s">
        <v>185</v>
      </c>
      <c r="C62" s="27">
        <v>1</v>
      </c>
      <c r="D62" s="129" t="s">
        <v>707</v>
      </c>
      <c r="E62" s="138" t="s">
        <v>334</v>
      </c>
      <c r="F62" s="135"/>
      <c r="G62" s="135"/>
      <c r="H62" s="135"/>
      <c r="I62" s="135"/>
      <c r="J62" s="135"/>
      <c r="K62" s="135"/>
      <c r="L62" s="137">
        <v>3.4</v>
      </c>
      <c r="M62" s="137">
        <f>2*L62</f>
        <v>6.8</v>
      </c>
      <c r="N62"/>
      <c r="O62" s="137">
        <v>75</v>
      </c>
      <c r="P62" s="250">
        <f t="shared" ref="P62:P78" si="30">O62*L62</f>
        <v>255</v>
      </c>
      <c r="Q62" s="136">
        <f t="shared" ref="Q62:Q78" si="31">O62*M62</f>
        <v>510</v>
      </c>
      <c r="R62" s="191">
        <f t="shared" ref="R62:R80" si="32">10^(LOG(Q62/P62)/LOG(Q$6/P$6)-1)</f>
        <v>0.57078269456856334</v>
      </c>
      <c r="S62" s="32">
        <f t="shared" ref="S62:S79" ca="1" si="33">P62*(10*R62)^LOG(wing_area/ref_wing_area)</f>
        <v>75.47268209534856</v>
      </c>
      <c r="T62" s="404">
        <v>0.8</v>
      </c>
      <c r="U62" s="32">
        <f t="shared" ref="U62:U79" ca="1" si="34">S62*(10*T62)^LOG(Q_prototype)</f>
        <v>141.13897489416158</v>
      </c>
      <c r="V62" s="27"/>
      <c r="W62" s="26" t="s">
        <v>704</v>
      </c>
      <c r="X62" s="27"/>
      <c r="Y62" s="413"/>
      <c r="Z62" s="413"/>
      <c r="AA62" s="413"/>
      <c r="AB62" s="413"/>
      <c r="AC62" s="413"/>
      <c r="AD62" s="413">
        <v>0.5</v>
      </c>
      <c r="AE62" s="413">
        <v>0.5</v>
      </c>
      <c r="AF62" s="413"/>
      <c r="AG62" s="413"/>
      <c r="AH62" s="413"/>
      <c r="AI62" s="413"/>
      <c r="AJ62" s="413"/>
      <c r="AK62" s="413"/>
      <c r="AL62" s="413"/>
      <c r="AM62" s="193"/>
      <c r="AN62" s="408">
        <f t="shared" si="6"/>
        <v>1</v>
      </c>
      <c r="AO62" s="251"/>
      <c r="AP62" s="32">
        <f t="shared" ref="AP62:AP79" ca="1" si="35">U62*AN62</f>
        <v>141.13897489416158</v>
      </c>
      <c r="AQ62" s="260">
        <f t="shared" ca="1" si="10"/>
        <v>0</v>
      </c>
    </row>
    <row r="63" spans="1:43" hidden="1" outlineLevel="1" x14ac:dyDescent="0.3">
      <c r="A63" s="26" t="s">
        <v>575</v>
      </c>
      <c r="B63" s="26" t="s">
        <v>185</v>
      </c>
      <c r="C63" s="27">
        <v>1</v>
      </c>
      <c r="D63" s="129" t="s">
        <v>707</v>
      </c>
      <c r="E63" s="138" t="s">
        <v>335</v>
      </c>
      <c r="F63" s="135"/>
      <c r="G63" s="135"/>
      <c r="H63" s="135"/>
      <c r="I63" s="135"/>
      <c r="J63" s="135"/>
      <c r="K63" s="135"/>
      <c r="L63" s="137">
        <v>2.2000000000000002</v>
      </c>
      <c r="M63" s="137">
        <f>L63</f>
        <v>2.2000000000000002</v>
      </c>
      <c r="N63"/>
      <c r="O63" s="137">
        <v>80</v>
      </c>
      <c r="P63" s="250">
        <f t="shared" si="30"/>
        <v>176</v>
      </c>
      <c r="Q63" s="136">
        <f t="shared" si="31"/>
        <v>176</v>
      </c>
      <c r="R63" s="191">
        <f t="shared" si="32"/>
        <v>0.1</v>
      </c>
      <c r="S63" s="32">
        <f t="shared" ca="1" si="33"/>
        <v>176</v>
      </c>
      <c r="T63" s="404">
        <v>0.8</v>
      </c>
      <c r="U63" s="32">
        <f t="shared" ca="1" si="34"/>
        <v>329.1317983106814</v>
      </c>
      <c r="V63" s="27"/>
      <c r="W63" s="26" t="s">
        <v>704</v>
      </c>
      <c r="X63" s="27"/>
      <c r="Y63" s="413"/>
      <c r="Z63" s="413"/>
      <c r="AA63" s="413"/>
      <c r="AB63" s="413"/>
      <c r="AC63" s="413"/>
      <c r="AD63" s="413">
        <v>0.5</v>
      </c>
      <c r="AE63" s="413">
        <v>0.5</v>
      </c>
      <c r="AF63" s="413"/>
      <c r="AG63" s="413"/>
      <c r="AH63" s="413"/>
      <c r="AI63" s="413"/>
      <c r="AJ63" s="413"/>
      <c r="AK63" s="413"/>
      <c r="AL63" s="413"/>
      <c r="AM63" s="193"/>
      <c r="AN63" s="408">
        <f t="shared" si="6"/>
        <v>1</v>
      </c>
      <c r="AO63" s="251"/>
      <c r="AP63" s="32">
        <f t="shared" ca="1" si="35"/>
        <v>329.1317983106814</v>
      </c>
      <c r="AQ63" s="260">
        <f t="shared" ca="1" si="10"/>
        <v>0</v>
      </c>
    </row>
    <row r="64" spans="1:43" hidden="1" outlineLevel="1" x14ac:dyDescent="0.3">
      <c r="A64" s="26" t="s">
        <v>575</v>
      </c>
      <c r="B64" s="26" t="s">
        <v>185</v>
      </c>
      <c r="C64" s="27">
        <v>1</v>
      </c>
      <c r="D64" s="129" t="s">
        <v>707</v>
      </c>
      <c r="E64" s="138" t="s">
        <v>313</v>
      </c>
      <c r="F64" s="135"/>
      <c r="G64" s="135"/>
      <c r="H64" s="135"/>
      <c r="I64" s="135"/>
      <c r="J64" s="135"/>
      <c r="K64" s="135"/>
      <c r="L64" s="137">
        <v>3.4</v>
      </c>
      <c r="M64" s="137">
        <f>2*L64</f>
        <v>6.8</v>
      </c>
      <c r="N64"/>
      <c r="O64" s="137">
        <v>70</v>
      </c>
      <c r="P64" s="250">
        <f t="shared" si="30"/>
        <v>238</v>
      </c>
      <c r="Q64" s="136">
        <f t="shared" si="31"/>
        <v>476</v>
      </c>
      <c r="R64" s="191">
        <f t="shared" si="32"/>
        <v>0.57078269456856334</v>
      </c>
      <c r="S64" s="32">
        <f t="shared" ca="1" si="33"/>
        <v>70.441169955658665</v>
      </c>
      <c r="T64" s="404">
        <v>0.8</v>
      </c>
      <c r="U64" s="32">
        <f t="shared" ca="1" si="34"/>
        <v>131.72970990121749</v>
      </c>
      <c r="V64" s="27"/>
      <c r="W64" s="26" t="s">
        <v>704</v>
      </c>
      <c r="X64" s="27"/>
      <c r="Y64" s="413"/>
      <c r="Z64" s="413"/>
      <c r="AA64" s="413"/>
      <c r="AB64" s="413"/>
      <c r="AC64" s="413"/>
      <c r="AD64" s="413">
        <v>0.5</v>
      </c>
      <c r="AE64" s="413">
        <v>0.5</v>
      </c>
      <c r="AF64" s="413"/>
      <c r="AG64" s="413"/>
      <c r="AH64" s="413"/>
      <c r="AI64" s="413"/>
      <c r="AJ64" s="413"/>
      <c r="AK64" s="413"/>
      <c r="AL64" s="413"/>
      <c r="AM64" s="193"/>
      <c r="AN64" s="408">
        <f t="shared" si="6"/>
        <v>1</v>
      </c>
      <c r="AO64" s="251"/>
      <c r="AP64" s="32">
        <f t="shared" ca="1" si="35"/>
        <v>131.72970990121749</v>
      </c>
      <c r="AQ64" s="260">
        <f t="shared" ca="1" si="10"/>
        <v>0</v>
      </c>
    </row>
    <row r="65" spans="1:43" hidden="1" outlineLevel="1" x14ac:dyDescent="0.3">
      <c r="A65" s="26" t="s">
        <v>575</v>
      </c>
      <c r="B65" s="26" t="s">
        <v>185</v>
      </c>
      <c r="C65" s="27">
        <v>1</v>
      </c>
      <c r="D65" s="129" t="s">
        <v>707</v>
      </c>
      <c r="E65" s="138" t="s">
        <v>336</v>
      </c>
      <c r="F65" s="135"/>
      <c r="G65" s="135"/>
      <c r="H65" s="135"/>
      <c r="I65" s="135"/>
      <c r="J65" s="135"/>
      <c r="K65" s="135"/>
      <c r="L65" s="137">
        <v>2.2000000000000002</v>
      </c>
      <c r="M65" s="137">
        <f>2*L65</f>
        <v>4.4000000000000004</v>
      </c>
      <c r="N65"/>
      <c r="O65" s="137">
        <v>40</v>
      </c>
      <c r="P65" s="250">
        <f t="shared" si="30"/>
        <v>88</v>
      </c>
      <c r="Q65" s="136">
        <f t="shared" si="31"/>
        <v>176</v>
      </c>
      <c r="R65" s="191">
        <f t="shared" si="32"/>
        <v>0.57078269456856334</v>
      </c>
      <c r="S65" s="32">
        <f t="shared" ca="1" si="33"/>
        <v>26.045474605453624</v>
      </c>
      <c r="T65" s="404">
        <v>0.5</v>
      </c>
      <c r="U65" s="32">
        <f t="shared" ca="1" si="34"/>
        <v>42.280801651092531</v>
      </c>
      <c r="V65" s="27"/>
      <c r="W65" s="26" t="s">
        <v>704</v>
      </c>
      <c r="X65" s="27"/>
      <c r="Y65" s="413"/>
      <c r="Z65" s="413"/>
      <c r="AA65" s="413"/>
      <c r="AB65" s="413"/>
      <c r="AC65" s="413"/>
      <c r="AD65" s="413">
        <v>0.5</v>
      </c>
      <c r="AE65" s="413">
        <v>0.5</v>
      </c>
      <c r="AF65" s="413"/>
      <c r="AG65" s="413"/>
      <c r="AH65" s="413"/>
      <c r="AI65" s="413"/>
      <c r="AJ65" s="413"/>
      <c r="AK65" s="413"/>
      <c r="AL65" s="413"/>
      <c r="AM65" s="193"/>
      <c r="AN65" s="408">
        <f t="shared" si="6"/>
        <v>1</v>
      </c>
      <c r="AO65" s="251"/>
      <c r="AP65" s="32">
        <f t="shared" ca="1" si="35"/>
        <v>42.280801651092531</v>
      </c>
      <c r="AQ65" s="260">
        <f t="shared" ca="1" si="10"/>
        <v>0</v>
      </c>
    </row>
    <row r="66" spans="1:43" hidden="1" outlineLevel="1" x14ac:dyDescent="0.3">
      <c r="A66" s="26" t="s">
        <v>575</v>
      </c>
      <c r="B66" s="26" t="s">
        <v>185</v>
      </c>
      <c r="C66" s="27">
        <v>1</v>
      </c>
      <c r="D66" s="129" t="s">
        <v>707</v>
      </c>
      <c r="E66" s="138" t="s">
        <v>337</v>
      </c>
      <c r="F66" s="135"/>
      <c r="G66" s="135"/>
      <c r="H66" s="135"/>
      <c r="I66" s="135"/>
      <c r="J66" s="135"/>
      <c r="K66" s="135"/>
      <c r="L66" s="137">
        <v>1.6</v>
      </c>
      <c r="M66" s="137">
        <f>2*L66</f>
        <v>3.2</v>
      </c>
      <c r="N66"/>
      <c r="O66" s="137">
        <v>15</v>
      </c>
      <c r="P66" s="250">
        <f t="shared" si="30"/>
        <v>24</v>
      </c>
      <c r="Q66" s="136">
        <f t="shared" si="31"/>
        <v>48</v>
      </c>
      <c r="R66" s="191">
        <f t="shared" si="32"/>
        <v>0.57078269456856334</v>
      </c>
      <c r="S66" s="32">
        <f t="shared" ca="1" si="33"/>
        <v>7.1033112560328062</v>
      </c>
      <c r="T66" s="404">
        <v>0.6</v>
      </c>
      <c r="U66" s="32">
        <f t="shared" ca="1" si="34"/>
        <v>12.181694750388608</v>
      </c>
      <c r="V66" s="27"/>
      <c r="W66" s="26" t="s">
        <v>704</v>
      </c>
      <c r="X66" s="27"/>
      <c r="Y66" s="413"/>
      <c r="Z66" s="413"/>
      <c r="AA66" s="413"/>
      <c r="AB66" s="413"/>
      <c r="AC66" s="413"/>
      <c r="AD66" s="413">
        <v>0.5</v>
      </c>
      <c r="AE66" s="413">
        <v>0.5</v>
      </c>
      <c r="AF66" s="413"/>
      <c r="AG66" s="413"/>
      <c r="AH66" s="413"/>
      <c r="AI66" s="413"/>
      <c r="AJ66" s="413"/>
      <c r="AK66" s="413"/>
      <c r="AL66" s="413"/>
      <c r="AM66" s="193"/>
      <c r="AN66" s="408">
        <f t="shared" si="6"/>
        <v>1</v>
      </c>
      <c r="AO66" s="251"/>
      <c r="AP66" s="32">
        <f t="shared" ca="1" si="35"/>
        <v>12.181694750388608</v>
      </c>
      <c r="AQ66" s="260">
        <f t="shared" ca="1" si="10"/>
        <v>0</v>
      </c>
    </row>
    <row r="67" spans="1:43" hidden="1" outlineLevel="1" x14ac:dyDescent="0.3">
      <c r="A67" s="26" t="s">
        <v>575</v>
      </c>
      <c r="B67" s="26" t="s">
        <v>185</v>
      </c>
      <c r="C67" s="27">
        <v>1</v>
      </c>
      <c r="D67" s="129" t="s">
        <v>707</v>
      </c>
      <c r="E67" s="138" t="s">
        <v>338</v>
      </c>
      <c r="F67" s="135"/>
      <c r="G67" s="135"/>
      <c r="H67" s="135"/>
      <c r="I67" s="135"/>
      <c r="J67" s="135"/>
      <c r="K67" s="135"/>
      <c r="L67" s="137">
        <v>1</v>
      </c>
      <c r="M67" s="137">
        <f>L67</f>
        <v>1</v>
      </c>
      <c r="N67"/>
      <c r="O67" s="137">
        <v>80</v>
      </c>
      <c r="P67" s="250">
        <f t="shared" si="30"/>
        <v>80</v>
      </c>
      <c r="Q67" s="136">
        <f t="shared" si="31"/>
        <v>80</v>
      </c>
      <c r="R67" s="191">
        <f t="shared" si="32"/>
        <v>0.1</v>
      </c>
      <c r="S67" s="32">
        <f t="shared" ca="1" si="33"/>
        <v>80</v>
      </c>
      <c r="T67" s="404">
        <v>0.8</v>
      </c>
      <c r="U67" s="32">
        <f t="shared" ca="1" si="34"/>
        <v>149.60536286849157</v>
      </c>
      <c r="V67" s="27"/>
      <c r="W67" s="26" t="s">
        <v>704</v>
      </c>
      <c r="X67" s="27"/>
      <c r="Y67" s="413"/>
      <c r="Z67" s="413"/>
      <c r="AA67" s="413"/>
      <c r="AB67" s="413"/>
      <c r="AC67" s="413"/>
      <c r="AD67" s="413">
        <v>0.5</v>
      </c>
      <c r="AE67" s="413">
        <v>0.5</v>
      </c>
      <c r="AF67" s="413"/>
      <c r="AG67" s="413"/>
      <c r="AH67" s="413"/>
      <c r="AI67" s="413"/>
      <c r="AJ67" s="413"/>
      <c r="AK67" s="413"/>
      <c r="AL67" s="413"/>
      <c r="AM67" s="193"/>
      <c r="AN67" s="408">
        <f t="shared" si="6"/>
        <v>1</v>
      </c>
      <c r="AO67" s="251"/>
      <c r="AP67" s="32">
        <f t="shared" ca="1" si="35"/>
        <v>149.60536286849157</v>
      </c>
      <c r="AQ67" s="260">
        <f t="shared" ca="1" si="10"/>
        <v>0</v>
      </c>
    </row>
    <row r="68" spans="1:43" hidden="1" outlineLevel="1" x14ac:dyDescent="0.3">
      <c r="A68" s="26" t="s">
        <v>575</v>
      </c>
      <c r="B68" s="26" t="s">
        <v>185</v>
      </c>
      <c r="C68" s="27">
        <v>1</v>
      </c>
      <c r="D68" s="129" t="s">
        <v>707</v>
      </c>
      <c r="E68" s="138" t="s">
        <v>339</v>
      </c>
      <c r="F68" s="135"/>
      <c r="G68" s="135"/>
      <c r="H68" s="135"/>
      <c r="I68" s="135"/>
      <c r="J68" s="135"/>
      <c r="K68" s="135"/>
      <c r="L68" s="137">
        <v>1</v>
      </c>
      <c r="M68" s="137">
        <f>L68</f>
        <v>1</v>
      </c>
      <c r="N68"/>
      <c r="O68" s="58">
        <v>60</v>
      </c>
      <c r="P68" s="250">
        <f t="shared" si="30"/>
        <v>60</v>
      </c>
      <c r="Q68" s="136">
        <f t="shared" si="31"/>
        <v>60</v>
      </c>
      <c r="R68" s="191">
        <f t="shared" si="32"/>
        <v>0.1</v>
      </c>
      <c r="S68" s="32">
        <f t="shared" ca="1" si="33"/>
        <v>60</v>
      </c>
      <c r="T68" s="404">
        <v>0.5</v>
      </c>
      <c r="U68" s="32">
        <f t="shared" ca="1" si="34"/>
        <v>97.400724597829566</v>
      </c>
      <c r="V68" s="27"/>
      <c r="W68" s="26" t="s">
        <v>704</v>
      </c>
      <c r="X68" s="27"/>
      <c r="Y68" s="413"/>
      <c r="Z68" s="413"/>
      <c r="AA68" s="413"/>
      <c r="AB68" s="413"/>
      <c r="AC68" s="413"/>
      <c r="AD68" s="413">
        <v>0.5</v>
      </c>
      <c r="AE68" s="413">
        <v>0.5</v>
      </c>
      <c r="AF68" s="413"/>
      <c r="AG68" s="413"/>
      <c r="AH68" s="413"/>
      <c r="AI68" s="413"/>
      <c r="AJ68" s="413"/>
      <c r="AK68" s="413"/>
      <c r="AL68" s="413"/>
      <c r="AM68" s="193"/>
      <c r="AN68" s="408">
        <f t="shared" si="6"/>
        <v>1</v>
      </c>
      <c r="AO68" s="251"/>
      <c r="AP68" s="32">
        <f t="shared" ca="1" si="35"/>
        <v>97.400724597829566</v>
      </c>
      <c r="AQ68" s="260">
        <f t="shared" ca="1" si="10"/>
        <v>0</v>
      </c>
    </row>
    <row r="69" spans="1:43" hidden="1" outlineLevel="1" x14ac:dyDescent="0.3">
      <c r="A69" s="26" t="s">
        <v>575</v>
      </c>
      <c r="B69" s="26" t="s">
        <v>185</v>
      </c>
      <c r="C69" s="27">
        <v>1</v>
      </c>
      <c r="D69" s="129" t="s">
        <v>707</v>
      </c>
      <c r="E69" s="138" t="s">
        <v>340</v>
      </c>
      <c r="F69" s="135"/>
      <c r="G69" s="135"/>
      <c r="H69" s="135"/>
      <c r="I69" s="135"/>
      <c r="J69" s="135"/>
      <c r="K69" s="135"/>
      <c r="L69" s="137">
        <v>1</v>
      </c>
      <c r="M69" s="137">
        <f>L69</f>
        <v>1</v>
      </c>
      <c r="N69"/>
      <c r="O69" s="137">
        <v>10</v>
      </c>
      <c r="P69" s="250">
        <f t="shared" si="30"/>
        <v>10</v>
      </c>
      <c r="Q69" s="136">
        <f t="shared" si="31"/>
        <v>10</v>
      </c>
      <c r="R69" s="191">
        <f t="shared" si="32"/>
        <v>0.1</v>
      </c>
      <c r="S69" s="32">
        <f t="shared" ca="1" si="33"/>
        <v>10</v>
      </c>
      <c r="T69" s="404">
        <v>0.5</v>
      </c>
      <c r="U69" s="32">
        <f t="shared" ca="1" si="34"/>
        <v>16.233454099638259</v>
      </c>
      <c r="V69" s="27"/>
      <c r="W69" s="26" t="s">
        <v>704</v>
      </c>
      <c r="X69" s="27"/>
      <c r="Y69" s="413"/>
      <c r="Z69" s="413"/>
      <c r="AA69" s="413"/>
      <c r="AB69" s="413"/>
      <c r="AC69" s="413"/>
      <c r="AD69" s="413">
        <v>0.5</v>
      </c>
      <c r="AE69" s="413">
        <v>0.5</v>
      </c>
      <c r="AF69" s="413"/>
      <c r="AG69" s="413"/>
      <c r="AH69" s="413"/>
      <c r="AI69" s="413"/>
      <c r="AJ69" s="413"/>
      <c r="AK69" s="413"/>
      <c r="AL69" s="413"/>
      <c r="AM69" s="193"/>
      <c r="AN69" s="408">
        <f t="shared" si="6"/>
        <v>1</v>
      </c>
      <c r="AO69" s="251"/>
      <c r="AP69" s="32">
        <f t="shared" ca="1" si="35"/>
        <v>16.233454099638259</v>
      </c>
      <c r="AQ69" s="260">
        <f t="shared" ca="1" si="10"/>
        <v>0</v>
      </c>
    </row>
    <row r="70" spans="1:43" hidden="1" outlineLevel="1" x14ac:dyDescent="0.3">
      <c r="A70" s="26" t="s">
        <v>575</v>
      </c>
      <c r="B70" s="26" t="s">
        <v>185</v>
      </c>
      <c r="C70" s="27">
        <v>1</v>
      </c>
      <c r="D70" s="129" t="s">
        <v>707</v>
      </c>
      <c r="E70" s="138" t="s">
        <v>341</v>
      </c>
      <c r="F70" s="135"/>
      <c r="G70" s="135"/>
      <c r="H70" s="135"/>
      <c r="I70" s="135"/>
      <c r="J70" s="135"/>
      <c r="K70" s="135"/>
      <c r="L70" s="137">
        <v>1</v>
      </c>
      <c r="M70" s="137">
        <f>L70</f>
        <v>1</v>
      </c>
      <c r="N70"/>
      <c r="O70" s="58">
        <v>30</v>
      </c>
      <c r="P70" s="250">
        <f t="shared" si="30"/>
        <v>30</v>
      </c>
      <c r="Q70" s="136">
        <f t="shared" si="31"/>
        <v>30</v>
      </c>
      <c r="R70" s="191">
        <f t="shared" si="32"/>
        <v>0.1</v>
      </c>
      <c r="S70" s="32">
        <f t="shared" ca="1" si="33"/>
        <v>30</v>
      </c>
      <c r="T70" s="404">
        <v>0.8</v>
      </c>
      <c r="U70" s="32">
        <f t="shared" ca="1" si="34"/>
        <v>56.102011075684331</v>
      </c>
      <c r="V70" s="27"/>
      <c r="W70" s="26" t="s">
        <v>704</v>
      </c>
      <c r="X70" s="27"/>
      <c r="Y70" s="413"/>
      <c r="Z70" s="413"/>
      <c r="AA70" s="413"/>
      <c r="AB70" s="413"/>
      <c r="AC70" s="413"/>
      <c r="AD70" s="413">
        <v>0.5</v>
      </c>
      <c r="AE70" s="413">
        <v>0.5</v>
      </c>
      <c r="AF70" s="413"/>
      <c r="AG70" s="413"/>
      <c r="AH70" s="413"/>
      <c r="AI70" s="413"/>
      <c r="AJ70" s="413"/>
      <c r="AK70" s="413"/>
      <c r="AL70" s="413"/>
      <c r="AM70" s="193"/>
      <c r="AN70" s="408">
        <f t="shared" si="6"/>
        <v>1</v>
      </c>
      <c r="AO70" s="251"/>
      <c r="AP70" s="32">
        <f t="shared" ca="1" si="35"/>
        <v>56.102011075684331</v>
      </c>
      <c r="AQ70" s="260">
        <f t="shared" ca="1" si="10"/>
        <v>0</v>
      </c>
    </row>
    <row r="71" spans="1:43" hidden="1" outlineLevel="1" x14ac:dyDescent="0.3">
      <c r="A71" s="26" t="s">
        <v>575</v>
      </c>
      <c r="B71" s="26" t="s">
        <v>185</v>
      </c>
      <c r="C71" s="27">
        <v>1</v>
      </c>
      <c r="D71" s="129" t="s">
        <v>707</v>
      </c>
      <c r="E71" s="138" t="s">
        <v>342</v>
      </c>
      <c r="F71" s="135"/>
      <c r="G71" s="135"/>
      <c r="H71" s="135"/>
      <c r="I71" s="135"/>
      <c r="J71" s="135"/>
      <c r="K71" s="135"/>
      <c r="L71" s="137">
        <v>2.8</v>
      </c>
      <c r="M71" s="137">
        <f>L71*2</f>
        <v>5.6</v>
      </c>
      <c r="N71"/>
      <c r="O71" s="58">
        <v>40</v>
      </c>
      <c r="P71" s="250">
        <f t="shared" si="30"/>
        <v>112</v>
      </c>
      <c r="Q71" s="136">
        <f t="shared" si="31"/>
        <v>224</v>
      </c>
      <c r="R71" s="191">
        <f t="shared" si="32"/>
        <v>0.57078269456856334</v>
      </c>
      <c r="S71" s="32">
        <f t="shared" ca="1" si="33"/>
        <v>33.148785861486431</v>
      </c>
      <c r="T71" s="404">
        <v>0.8</v>
      </c>
      <c r="U71" s="32">
        <f t="shared" ca="1" si="34"/>
        <v>61.990451718220001</v>
      </c>
      <c r="V71" s="27"/>
      <c r="W71" s="26" t="s">
        <v>704</v>
      </c>
      <c r="X71" s="27"/>
      <c r="Y71" s="413"/>
      <c r="Z71" s="413"/>
      <c r="AA71" s="413"/>
      <c r="AB71" s="413"/>
      <c r="AC71" s="413"/>
      <c r="AD71" s="413">
        <v>0.5</v>
      </c>
      <c r="AE71" s="413">
        <v>0.5</v>
      </c>
      <c r="AF71" s="413"/>
      <c r="AG71" s="413"/>
      <c r="AH71" s="413"/>
      <c r="AI71" s="413"/>
      <c r="AJ71" s="413"/>
      <c r="AK71" s="413"/>
      <c r="AL71" s="413"/>
      <c r="AM71" s="193"/>
      <c r="AN71" s="408">
        <f t="shared" si="6"/>
        <v>1</v>
      </c>
      <c r="AO71" s="251"/>
      <c r="AP71" s="32">
        <f t="shared" ca="1" si="35"/>
        <v>61.990451718220001</v>
      </c>
      <c r="AQ71" s="260">
        <f t="shared" ca="1" si="10"/>
        <v>0</v>
      </c>
    </row>
    <row r="72" spans="1:43" hidden="1" outlineLevel="1" x14ac:dyDescent="0.3">
      <c r="A72" s="26" t="s">
        <v>575</v>
      </c>
      <c r="B72" s="26" t="s">
        <v>185</v>
      </c>
      <c r="C72" s="27">
        <v>1</v>
      </c>
      <c r="D72" s="129" t="s">
        <v>707</v>
      </c>
      <c r="E72" s="138" t="s">
        <v>343</v>
      </c>
      <c r="F72" s="135"/>
      <c r="G72" s="135"/>
      <c r="H72" s="138"/>
      <c r="I72" s="138"/>
      <c r="J72" s="138"/>
      <c r="K72" s="138"/>
      <c r="L72" s="137">
        <v>1</v>
      </c>
      <c r="M72" s="137">
        <f>L72</f>
        <v>1</v>
      </c>
      <c r="N72"/>
      <c r="O72" s="137">
        <v>30</v>
      </c>
      <c r="P72" s="250">
        <f t="shared" si="30"/>
        <v>30</v>
      </c>
      <c r="Q72" s="136">
        <f t="shared" si="31"/>
        <v>30</v>
      </c>
      <c r="R72" s="191">
        <f t="shared" si="32"/>
        <v>0.1</v>
      </c>
      <c r="S72" s="32">
        <f t="shared" ca="1" si="33"/>
        <v>30</v>
      </c>
      <c r="T72" s="404">
        <v>0.8</v>
      </c>
      <c r="U72" s="32">
        <f t="shared" ca="1" si="34"/>
        <v>56.102011075684331</v>
      </c>
      <c r="V72" s="27"/>
      <c r="W72" s="26" t="s">
        <v>704</v>
      </c>
      <c r="X72" s="27"/>
      <c r="Y72" s="413"/>
      <c r="Z72" s="413"/>
      <c r="AA72" s="413"/>
      <c r="AB72" s="413"/>
      <c r="AC72" s="413"/>
      <c r="AD72" s="413">
        <v>0.5</v>
      </c>
      <c r="AE72" s="413">
        <v>0.5</v>
      </c>
      <c r="AF72" s="413"/>
      <c r="AG72" s="413"/>
      <c r="AH72" s="413"/>
      <c r="AI72" s="413"/>
      <c r="AJ72" s="413"/>
      <c r="AK72" s="413"/>
      <c r="AL72" s="413"/>
      <c r="AM72" s="193"/>
      <c r="AN72" s="408">
        <f t="shared" si="6"/>
        <v>1</v>
      </c>
      <c r="AO72" s="251"/>
      <c r="AP72" s="32">
        <f t="shared" ca="1" si="35"/>
        <v>56.102011075684331</v>
      </c>
      <c r="AQ72" s="260">
        <f t="shared" ca="1" si="10"/>
        <v>0</v>
      </c>
    </row>
    <row r="73" spans="1:43" hidden="1" outlineLevel="1" x14ac:dyDescent="0.3">
      <c r="A73" s="26" t="s">
        <v>575</v>
      </c>
      <c r="B73" s="26" t="s">
        <v>185</v>
      </c>
      <c r="C73" s="27">
        <v>1</v>
      </c>
      <c r="D73" s="129" t="s">
        <v>707</v>
      </c>
      <c r="E73" s="138" t="s">
        <v>344</v>
      </c>
      <c r="F73" s="135"/>
      <c r="G73" s="135"/>
      <c r="H73" s="138"/>
      <c r="I73" s="138"/>
      <c r="J73" s="138"/>
      <c r="K73" s="138"/>
      <c r="L73" s="137">
        <v>1</v>
      </c>
      <c r="M73" s="137">
        <f>L73</f>
        <v>1</v>
      </c>
      <c r="N73"/>
      <c r="O73" s="137">
        <v>30</v>
      </c>
      <c r="P73" s="250">
        <f t="shared" si="30"/>
        <v>30</v>
      </c>
      <c r="Q73" s="136">
        <f t="shared" si="31"/>
        <v>30</v>
      </c>
      <c r="R73" s="191">
        <f t="shared" si="32"/>
        <v>0.1</v>
      </c>
      <c r="S73" s="32">
        <f t="shared" ca="1" si="33"/>
        <v>30</v>
      </c>
      <c r="T73" s="404">
        <v>0.8</v>
      </c>
      <c r="U73" s="32">
        <f t="shared" ca="1" si="34"/>
        <v>56.102011075684331</v>
      </c>
      <c r="V73" s="27"/>
      <c r="W73" s="26" t="s">
        <v>704</v>
      </c>
      <c r="X73" s="27"/>
      <c r="Y73" s="413"/>
      <c r="Z73" s="413"/>
      <c r="AA73" s="413"/>
      <c r="AB73" s="413"/>
      <c r="AC73" s="413"/>
      <c r="AD73" s="413">
        <v>0.5</v>
      </c>
      <c r="AE73" s="413">
        <v>0.5</v>
      </c>
      <c r="AF73" s="413"/>
      <c r="AG73" s="413"/>
      <c r="AH73" s="413"/>
      <c r="AI73" s="413"/>
      <c r="AJ73" s="413"/>
      <c r="AK73" s="413"/>
      <c r="AL73" s="413"/>
      <c r="AM73" s="193"/>
      <c r="AN73" s="408">
        <f t="shared" si="6"/>
        <v>1</v>
      </c>
      <c r="AO73" s="251"/>
      <c r="AP73" s="32">
        <f t="shared" ca="1" si="35"/>
        <v>56.102011075684331</v>
      </c>
      <c r="AQ73" s="260">
        <f t="shared" ca="1" si="10"/>
        <v>0</v>
      </c>
    </row>
    <row r="74" spans="1:43" hidden="1" outlineLevel="1" x14ac:dyDescent="0.3">
      <c r="A74" s="26" t="s">
        <v>575</v>
      </c>
      <c r="B74" s="26" t="s">
        <v>185</v>
      </c>
      <c r="C74" s="27">
        <v>1</v>
      </c>
      <c r="D74" s="129" t="s">
        <v>707</v>
      </c>
      <c r="E74" s="138" t="s">
        <v>345</v>
      </c>
      <c r="F74" s="135"/>
      <c r="G74" s="135"/>
      <c r="H74" s="138"/>
      <c r="I74" s="138"/>
      <c r="J74" s="138"/>
      <c r="K74" s="138"/>
      <c r="L74" s="137">
        <v>1</v>
      </c>
      <c r="M74" s="137">
        <f>L74</f>
        <v>1</v>
      </c>
      <c r="N74"/>
      <c r="O74" s="137">
        <v>45</v>
      </c>
      <c r="P74" s="250">
        <f t="shared" si="30"/>
        <v>45</v>
      </c>
      <c r="Q74" s="136">
        <f t="shared" si="31"/>
        <v>45</v>
      </c>
      <c r="R74" s="191">
        <f t="shared" si="32"/>
        <v>0.1</v>
      </c>
      <c r="S74" s="32">
        <f t="shared" ca="1" si="33"/>
        <v>45</v>
      </c>
      <c r="T74" s="404">
        <v>0.8</v>
      </c>
      <c r="U74" s="32">
        <f t="shared" ca="1" si="34"/>
        <v>84.153016613526503</v>
      </c>
      <c r="V74" s="27"/>
      <c r="W74" s="26" t="s">
        <v>704</v>
      </c>
      <c r="X74" s="27"/>
      <c r="Y74" s="413"/>
      <c r="Z74" s="413"/>
      <c r="AA74" s="413"/>
      <c r="AB74" s="413"/>
      <c r="AC74" s="413"/>
      <c r="AD74" s="413">
        <v>0.5</v>
      </c>
      <c r="AE74" s="413">
        <v>0.5</v>
      </c>
      <c r="AF74" s="413"/>
      <c r="AG74" s="413"/>
      <c r="AH74" s="413"/>
      <c r="AI74" s="413"/>
      <c r="AJ74" s="413"/>
      <c r="AK74" s="413"/>
      <c r="AL74" s="413"/>
      <c r="AM74" s="193"/>
      <c r="AN74" s="408">
        <f t="shared" ref="AN74:AN134" si="36">SUM(Y74:AM74)</f>
        <v>1</v>
      </c>
      <c r="AO74" s="251"/>
      <c r="AP74" s="32">
        <f t="shared" ca="1" si="35"/>
        <v>84.153016613526503</v>
      </c>
      <c r="AQ74" s="260">
        <f t="shared" ca="1" si="10"/>
        <v>0</v>
      </c>
    </row>
    <row r="75" spans="1:43" hidden="1" outlineLevel="1" x14ac:dyDescent="0.3">
      <c r="A75" s="26" t="s">
        <v>575</v>
      </c>
      <c r="B75" s="26" t="s">
        <v>185</v>
      </c>
      <c r="C75" s="27">
        <v>1</v>
      </c>
      <c r="D75" s="129" t="s">
        <v>707</v>
      </c>
      <c r="E75" s="138" t="s">
        <v>346</v>
      </c>
      <c r="F75" s="135"/>
      <c r="G75" s="135"/>
      <c r="H75" s="135"/>
      <c r="I75" s="135"/>
      <c r="J75" s="135"/>
      <c r="K75" s="135"/>
      <c r="L75" s="137">
        <v>1</v>
      </c>
      <c r="M75" s="137">
        <f>L75</f>
        <v>1</v>
      </c>
      <c r="N75"/>
      <c r="O75" s="137">
        <v>11</v>
      </c>
      <c r="P75" s="250">
        <f t="shared" si="30"/>
        <v>11</v>
      </c>
      <c r="Q75" s="136">
        <f t="shared" si="31"/>
        <v>11</v>
      </c>
      <c r="R75" s="191">
        <f t="shared" si="32"/>
        <v>0.1</v>
      </c>
      <c r="S75" s="32">
        <f t="shared" ca="1" si="33"/>
        <v>11</v>
      </c>
      <c r="T75" s="404">
        <v>0.8</v>
      </c>
      <c r="U75" s="32">
        <f t="shared" ca="1" si="34"/>
        <v>20.570737394417588</v>
      </c>
      <c r="V75" s="27"/>
      <c r="W75" s="26" t="s">
        <v>704</v>
      </c>
      <c r="X75" s="27"/>
      <c r="Y75" s="413"/>
      <c r="Z75" s="413"/>
      <c r="AA75" s="413"/>
      <c r="AB75" s="413"/>
      <c r="AC75" s="413"/>
      <c r="AD75" s="413">
        <v>0.5</v>
      </c>
      <c r="AE75" s="413">
        <v>0.5</v>
      </c>
      <c r="AF75" s="413"/>
      <c r="AG75" s="413"/>
      <c r="AH75" s="413"/>
      <c r="AI75" s="413"/>
      <c r="AJ75" s="413"/>
      <c r="AK75" s="413"/>
      <c r="AL75" s="413"/>
      <c r="AM75" s="193"/>
      <c r="AN75" s="408">
        <f t="shared" si="36"/>
        <v>1</v>
      </c>
      <c r="AO75" s="251"/>
      <c r="AP75" s="32">
        <f t="shared" ca="1" si="35"/>
        <v>20.570737394417588</v>
      </c>
      <c r="AQ75" s="260">
        <f t="shared" ca="1" si="10"/>
        <v>0</v>
      </c>
    </row>
    <row r="76" spans="1:43" hidden="1" outlineLevel="1" x14ac:dyDescent="0.3">
      <c r="A76" s="26" t="s">
        <v>575</v>
      </c>
      <c r="B76" s="26" t="s">
        <v>185</v>
      </c>
      <c r="C76" s="27">
        <v>1</v>
      </c>
      <c r="D76" s="129" t="s">
        <v>707</v>
      </c>
      <c r="E76" s="138" t="s">
        <v>347</v>
      </c>
      <c r="F76" s="135"/>
      <c r="G76" s="135"/>
      <c r="H76" s="135"/>
      <c r="I76" s="135"/>
      <c r="J76" s="135"/>
      <c r="K76" s="135"/>
      <c r="L76" s="137">
        <v>3.4</v>
      </c>
      <c r="M76" s="137">
        <f>2*L76</f>
        <v>6.8</v>
      </c>
      <c r="N76"/>
      <c r="O76" s="137">
        <v>10</v>
      </c>
      <c r="P76" s="250">
        <f t="shared" si="30"/>
        <v>34</v>
      </c>
      <c r="Q76" s="136">
        <f t="shared" si="31"/>
        <v>68</v>
      </c>
      <c r="R76" s="191">
        <f t="shared" si="32"/>
        <v>0.57078269456856334</v>
      </c>
      <c r="S76" s="32">
        <f t="shared" ca="1" si="33"/>
        <v>10.063024279379809</v>
      </c>
      <c r="T76" s="404">
        <v>0.8</v>
      </c>
      <c r="U76" s="32">
        <f t="shared" ca="1" si="34"/>
        <v>18.818529985888212</v>
      </c>
      <c r="V76" s="27"/>
      <c r="W76" s="26" t="s">
        <v>704</v>
      </c>
      <c r="X76" s="27"/>
      <c r="Y76" s="413"/>
      <c r="Z76" s="413"/>
      <c r="AA76" s="413"/>
      <c r="AB76" s="413"/>
      <c r="AC76" s="413"/>
      <c r="AD76" s="413">
        <v>0.5</v>
      </c>
      <c r="AE76" s="413">
        <v>0.5</v>
      </c>
      <c r="AF76" s="413"/>
      <c r="AG76" s="413"/>
      <c r="AH76" s="413"/>
      <c r="AI76" s="413"/>
      <c r="AJ76" s="413"/>
      <c r="AK76" s="413"/>
      <c r="AL76" s="413"/>
      <c r="AM76" s="193"/>
      <c r="AN76" s="408">
        <f t="shared" si="36"/>
        <v>1</v>
      </c>
      <c r="AO76" s="251"/>
      <c r="AP76" s="32">
        <f t="shared" ca="1" si="35"/>
        <v>18.818529985888212</v>
      </c>
      <c r="AQ76" s="260">
        <f t="shared" ca="1" si="10"/>
        <v>0</v>
      </c>
    </row>
    <row r="77" spans="1:43" hidden="1" outlineLevel="1" x14ac:dyDescent="0.3">
      <c r="A77" s="26" t="s">
        <v>575</v>
      </c>
      <c r="B77" s="26" t="s">
        <v>185</v>
      </c>
      <c r="C77" s="27">
        <v>1</v>
      </c>
      <c r="D77" s="129" t="s">
        <v>707</v>
      </c>
      <c r="E77" s="138" t="s">
        <v>321</v>
      </c>
      <c r="F77" s="135"/>
      <c r="G77" s="135"/>
      <c r="H77" s="135"/>
      <c r="I77" s="135"/>
      <c r="J77" s="135"/>
      <c r="K77" s="135"/>
      <c r="L77" s="137">
        <v>3.4</v>
      </c>
      <c r="M77" s="137">
        <f>2*L77</f>
        <v>6.8</v>
      </c>
      <c r="N77"/>
      <c r="O77" s="137">
        <v>40</v>
      </c>
      <c r="P77" s="250">
        <f t="shared" si="30"/>
        <v>136</v>
      </c>
      <c r="Q77" s="136">
        <f t="shared" si="31"/>
        <v>272</v>
      </c>
      <c r="R77" s="191">
        <f t="shared" si="32"/>
        <v>0.57078269456856334</v>
      </c>
      <c r="S77" s="32">
        <f t="shared" ca="1" si="33"/>
        <v>40.252097117519234</v>
      </c>
      <c r="T77" s="404">
        <v>0.8</v>
      </c>
      <c r="U77" s="32">
        <f t="shared" ca="1" si="34"/>
        <v>75.274119943552847</v>
      </c>
      <c r="V77" s="27"/>
      <c r="W77" s="26" t="s">
        <v>704</v>
      </c>
      <c r="X77" s="27"/>
      <c r="Y77" s="413"/>
      <c r="Z77" s="413"/>
      <c r="AA77" s="413"/>
      <c r="AB77" s="413"/>
      <c r="AC77" s="413"/>
      <c r="AD77" s="413">
        <v>0.5</v>
      </c>
      <c r="AE77" s="413">
        <v>0.5</v>
      </c>
      <c r="AF77" s="413"/>
      <c r="AG77" s="413"/>
      <c r="AH77" s="413"/>
      <c r="AI77" s="413"/>
      <c r="AJ77" s="413"/>
      <c r="AK77" s="413"/>
      <c r="AL77" s="413"/>
      <c r="AM77" s="193"/>
      <c r="AN77" s="408">
        <f t="shared" si="36"/>
        <v>1</v>
      </c>
      <c r="AO77" s="251"/>
      <c r="AP77" s="32">
        <f t="shared" ca="1" si="35"/>
        <v>75.274119943552847</v>
      </c>
      <c r="AQ77" s="260">
        <f t="shared" ref="AQ77:AQ140" ca="1" si="37">AP77-U77</f>
        <v>0</v>
      </c>
    </row>
    <row r="78" spans="1:43" hidden="1" outlineLevel="1" x14ac:dyDescent="0.3">
      <c r="A78" s="26" t="s">
        <v>575</v>
      </c>
      <c r="B78" s="26" t="s">
        <v>185</v>
      </c>
      <c r="C78" s="27">
        <v>1</v>
      </c>
      <c r="D78" s="129" t="s">
        <v>707</v>
      </c>
      <c r="E78" s="138" t="s">
        <v>348</v>
      </c>
      <c r="F78" s="135"/>
      <c r="G78" s="135"/>
      <c r="H78" s="135"/>
      <c r="I78" s="135"/>
      <c r="J78" s="135"/>
      <c r="K78" s="135"/>
      <c r="L78" s="137">
        <v>1</v>
      </c>
      <c r="M78" s="137">
        <f>L78</f>
        <v>1</v>
      </c>
      <c r="N78"/>
      <c r="O78" s="137">
        <v>4</v>
      </c>
      <c r="P78" s="250">
        <f t="shared" si="30"/>
        <v>4</v>
      </c>
      <c r="Q78" s="136">
        <f t="shared" si="31"/>
        <v>4</v>
      </c>
      <c r="R78" s="191">
        <f t="shared" si="32"/>
        <v>0.1</v>
      </c>
      <c r="S78" s="32">
        <f t="shared" ca="1" si="33"/>
        <v>4</v>
      </c>
      <c r="T78" s="404">
        <v>0.8</v>
      </c>
      <c r="U78" s="32">
        <f t="shared" ca="1" si="34"/>
        <v>7.4802681434245777</v>
      </c>
      <c r="V78" s="27"/>
      <c r="W78" s="26" t="s">
        <v>704</v>
      </c>
      <c r="X78" s="27"/>
      <c r="Y78" s="413"/>
      <c r="Z78" s="413"/>
      <c r="AA78" s="413"/>
      <c r="AB78" s="413"/>
      <c r="AC78" s="413"/>
      <c r="AD78" s="413">
        <v>0.5</v>
      </c>
      <c r="AE78" s="413">
        <v>0.5</v>
      </c>
      <c r="AF78" s="413"/>
      <c r="AG78" s="413"/>
      <c r="AH78" s="413"/>
      <c r="AI78" s="413"/>
      <c r="AJ78" s="413"/>
      <c r="AK78" s="413"/>
      <c r="AL78" s="413"/>
      <c r="AM78" s="193"/>
      <c r="AN78" s="408">
        <f t="shared" si="36"/>
        <v>1</v>
      </c>
      <c r="AO78" s="251"/>
      <c r="AP78" s="32">
        <f t="shared" ca="1" si="35"/>
        <v>7.4802681434245777</v>
      </c>
      <c r="AQ78" s="260">
        <f t="shared" ca="1" si="37"/>
        <v>0</v>
      </c>
    </row>
    <row r="79" spans="1:43" hidden="1" outlineLevel="1" x14ac:dyDescent="0.3">
      <c r="A79" s="26" t="s">
        <v>577</v>
      </c>
      <c r="B79" s="26" t="s">
        <v>185</v>
      </c>
      <c r="C79" s="27">
        <v>1</v>
      </c>
      <c r="D79" s="129" t="s">
        <v>707</v>
      </c>
      <c r="E79" s="285" t="s">
        <v>349</v>
      </c>
      <c r="F79" s="187"/>
      <c r="G79" s="187"/>
      <c r="H79" s="187"/>
      <c r="I79" s="187"/>
      <c r="J79" s="187"/>
      <c r="K79" s="187"/>
      <c r="L79" s="249"/>
      <c r="M79" s="249"/>
      <c r="N79" s="247"/>
      <c r="O79" s="249" t="s">
        <v>261</v>
      </c>
      <c r="P79" s="485">
        <v>1200</v>
      </c>
      <c r="Q79" s="248">
        <f>P79</f>
        <v>1200</v>
      </c>
      <c r="R79" s="270">
        <f t="shared" si="32"/>
        <v>0.1</v>
      </c>
      <c r="S79" s="265">
        <f t="shared" ca="1" si="33"/>
        <v>1200</v>
      </c>
      <c r="T79" s="397">
        <v>0.1</v>
      </c>
      <c r="U79" s="265">
        <f t="shared" ca="1" si="34"/>
        <v>1200</v>
      </c>
      <c r="V79" s="27"/>
      <c r="W79" s="26" t="s">
        <v>704</v>
      </c>
      <c r="X79" s="27"/>
      <c r="Y79" s="414"/>
      <c r="Z79" s="414"/>
      <c r="AA79" s="414"/>
      <c r="AB79" s="414"/>
      <c r="AC79" s="414"/>
      <c r="AD79" s="414">
        <v>0.5</v>
      </c>
      <c r="AE79" s="414">
        <v>0.5</v>
      </c>
      <c r="AF79" s="414"/>
      <c r="AG79" s="414"/>
      <c r="AH79" s="414"/>
      <c r="AI79" s="414"/>
      <c r="AJ79" s="414"/>
      <c r="AK79" s="414"/>
      <c r="AL79" s="414"/>
      <c r="AM79" s="193"/>
      <c r="AN79" s="409">
        <f t="shared" si="36"/>
        <v>1</v>
      </c>
      <c r="AO79" s="399"/>
      <c r="AP79" s="265">
        <f t="shared" ca="1" si="35"/>
        <v>1200</v>
      </c>
      <c r="AQ79" s="260">
        <f t="shared" ca="1" si="37"/>
        <v>0</v>
      </c>
    </row>
    <row r="80" spans="1:43" s="260" customFormat="1" collapsed="1" x14ac:dyDescent="0.3">
      <c r="B80" s="260" t="s">
        <v>185</v>
      </c>
      <c r="C80" s="27">
        <v>2</v>
      </c>
      <c r="D80" s="129" t="s">
        <v>707</v>
      </c>
      <c r="E80" s="279" t="s">
        <v>474</v>
      </c>
      <c r="F80" s="239"/>
      <c r="G80" s="239"/>
      <c r="H80" s="239"/>
      <c r="I80" s="239"/>
      <c r="J80" s="239"/>
      <c r="K80" s="239"/>
      <c r="L80" s="261"/>
      <c r="M80" s="234"/>
      <c r="N80" s="294"/>
      <c r="O80" s="234">
        <f>SUM(O62:O79)</f>
        <v>670</v>
      </c>
      <c r="P80" s="234">
        <f>SUM(P62:P79)</f>
        <v>2563</v>
      </c>
      <c r="Q80" s="234">
        <f>SUM(Q62:Q79)</f>
        <v>3450</v>
      </c>
      <c r="R80" s="235">
        <f t="shared" si="32"/>
        <v>0.21103116680190284</v>
      </c>
      <c r="S80" s="234">
        <f ca="1">SUM(S62:S79)</f>
        <v>1938.5265451708792</v>
      </c>
      <c r="T80" s="235">
        <f ca="1">IFERROR(10^(LOG(U80/S80)/LOG(Q_prototype)-1),0)</f>
        <v>0.25066530509771046</v>
      </c>
      <c r="U80" s="234">
        <f ca="1">SUM(U62:U79)</f>
        <v>2556.2956780995837</v>
      </c>
      <c r="V80" s="140"/>
      <c r="W80" s="260" t="s">
        <v>305</v>
      </c>
      <c r="X80" s="140"/>
      <c r="Y80" s="261">
        <f t="shared" ref="Y80:AL80" ca="1" si="38">SUMPRODUCT($U62:$U79,Y62:Y79)</f>
        <v>0</v>
      </c>
      <c r="Z80" s="261">
        <f t="shared" ca="1" si="38"/>
        <v>0</v>
      </c>
      <c r="AA80" s="261">
        <f t="shared" ca="1" si="38"/>
        <v>0</v>
      </c>
      <c r="AB80" s="261">
        <f t="shared" ca="1" si="38"/>
        <v>0</v>
      </c>
      <c r="AC80" s="261">
        <f t="shared" ca="1" si="38"/>
        <v>0</v>
      </c>
      <c r="AD80" s="261">
        <f t="shared" ca="1" si="38"/>
        <v>1278.1478390497919</v>
      </c>
      <c r="AE80" s="261">
        <f t="shared" ca="1" si="38"/>
        <v>1278.1478390497919</v>
      </c>
      <c r="AF80" s="261">
        <f t="shared" ca="1" si="38"/>
        <v>0</v>
      </c>
      <c r="AG80" s="261">
        <f t="shared" ca="1" si="38"/>
        <v>0</v>
      </c>
      <c r="AH80" s="261">
        <f t="shared" ca="1" si="38"/>
        <v>0</v>
      </c>
      <c r="AI80" s="261">
        <f t="shared" ca="1" si="38"/>
        <v>0</v>
      </c>
      <c r="AJ80" s="261">
        <f t="shared" ca="1" si="38"/>
        <v>0</v>
      </c>
      <c r="AK80" s="261">
        <f t="shared" ca="1" si="38"/>
        <v>0</v>
      </c>
      <c r="AL80" s="261">
        <f t="shared" ca="1" si="38"/>
        <v>0</v>
      </c>
      <c r="AM80" s="140"/>
      <c r="AN80" s="234">
        <f t="shared" ca="1" si="36"/>
        <v>2556.2956780995837</v>
      </c>
      <c r="AO80" s="308"/>
      <c r="AP80" s="234">
        <f ca="1">SUM(AP62:AP79)</f>
        <v>2556.2956780995837</v>
      </c>
      <c r="AQ80" s="260">
        <f t="shared" ca="1" si="37"/>
        <v>0</v>
      </c>
    </row>
    <row r="81" spans="1:43" hidden="1" outlineLevel="1" x14ac:dyDescent="0.3">
      <c r="C81"/>
      <c r="D81" s="139"/>
      <c r="E81" s="128"/>
      <c r="I81" s="129"/>
      <c r="L81" s="134"/>
      <c r="M81" s="134"/>
      <c r="N81" s="26"/>
      <c r="O81" s="27"/>
      <c r="Q81" s="27"/>
      <c r="V81" s="27"/>
      <c r="X81" s="27"/>
      <c r="Y81" s="26"/>
      <c r="AQ81" s="260">
        <f t="shared" si="37"/>
        <v>0</v>
      </c>
    </row>
    <row r="82" spans="1:43" hidden="1" outlineLevel="1" x14ac:dyDescent="0.3">
      <c r="A82" s="26" t="s">
        <v>577</v>
      </c>
      <c r="B82" s="26" t="s">
        <v>185</v>
      </c>
      <c r="C82" s="27">
        <v>1</v>
      </c>
      <c r="D82" s="129" t="s">
        <v>707</v>
      </c>
      <c r="E82" s="293" t="s">
        <v>351</v>
      </c>
      <c r="F82" s="286"/>
      <c r="G82" s="128"/>
      <c r="H82" s="128"/>
      <c r="I82" s="451" t="s">
        <v>350</v>
      </c>
      <c r="J82" s="27"/>
      <c r="K82" s="27"/>
      <c r="L82" s="27"/>
      <c r="M82" s="27"/>
      <c r="N82" s="27"/>
      <c r="O82" s="27"/>
      <c r="P82" s="46">
        <v>50</v>
      </c>
      <c r="Q82" s="46">
        <v>60</v>
      </c>
      <c r="R82" s="191">
        <f t="shared" ref="R82:R95" si="39">10^(LOG(Q82/P82)/LOG(Q$6/P$6)-1)</f>
        <v>0.15811673821465591</v>
      </c>
      <c r="S82" s="32">
        <f t="shared" ref="S82:S94" ca="1" si="40">P82*(10*R82)^LOG(wing_area/ref_wing_area)</f>
        <v>36.29864871839127</v>
      </c>
      <c r="T82" s="396">
        <v>0.1</v>
      </c>
      <c r="U82" s="32">
        <f t="shared" ref="U82:U94" ca="1" si="41">S82*(10*T82)^LOG(Q_prototype)</f>
        <v>36.29864871839127</v>
      </c>
      <c r="V82" s="27"/>
      <c r="W82" s="26" t="s">
        <v>704</v>
      </c>
      <c r="X82" s="27"/>
      <c r="Y82" s="413"/>
      <c r="Z82" s="413"/>
      <c r="AA82" s="413"/>
      <c r="AB82" s="413"/>
      <c r="AC82" s="413"/>
      <c r="AD82" s="413"/>
      <c r="AE82" s="413"/>
      <c r="AF82" s="413"/>
      <c r="AG82" s="413"/>
      <c r="AH82" s="413">
        <v>1</v>
      </c>
      <c r="AI82" s="413"/>
      <c r="AJ82" s="413"/>
      <c r="AK82" s="413"/>
      <c r="AL82" s="413"/>
      <c r="AM82" s="193"/>
      <c r="AN82" s="408">
        <f t="shared" si="36"/>
        <v>1</v>
      </c>
      <c r="AO82" s="251"/>
      <c r="AP82" s="32">
        <f t="shared" ref="AP82:AP87" ca="1" si="42">U82*AN82</f>
        <v>36.29864871839127</v>
      </c>
      <c r="AQ82" s="260">
        <f t="shared" ca="1" si="37"/>
        <v>0</v>
      </c>
    </row>
    <row r="83" spans="1:43" hidden="1" outlineLevel="1" x14ac:dyDescent="0.3">
      <c r="A83" s="26" t="s">
        <v>577</v>
      </c>
      <c r="B83" s="26" t="s">
        <v>185</v>
      </c>
      <c r="C83" s="27">
        <v>1</v>
      </c>
      <c r="D83" s="129" t="s">
        <v>707</v>
      </c>
      <c r="E83" s="293" t="s">
        <v>313</v>
      </c>
      <c r="F83" s="286"/>
      <c r="G83" s="128"/>
      <c r="H83" s="128"/>
      <c r="I83" s="451" t="s">
        <v>350</v>
      </c>
      <c r="J83" s="27"/>
      <c r="K83" s="27"/>
      <c r="L83" s="27"/>
      <c r="M83" s="27"/>
      <c r="N83" s="27"/>
      <c r="O83" s="27"/>
      <c r="P83" s="46">
        <v>100</v>
      </c>
      <c r="Q83" s="46">
        <v>120</v>
      </c>
      <c r="R83" s="191">
        <f t="shared" si="39"/>
        <v>0.15811673821465591</v>
      </c>
      <c r="S83" s="32">
        <f t="shared" ca="1" si="40"/>
        <v>72.59729743678254</v>
      </c>
      <c r="T83" s="396">
        <v>0.1</v>
      </c>
      <c r="U83" s="32">
        <f t="shared" ca="1" si="41"/>
        <v>72.59729743678254</v>
      </c>
      <c r="V83" s="27"/>
      <c r="W83" s="26" t="s">
        <v>704</v>
      </c>
      <c r="X83" s="27"/>
      <c r="Y83" s="413"/>
      <c r="Z83" s="413"/>
      <c r="AA83" s="413"/>
      <c r="AB83" s="413"/>
      <c r="AC83" s="413"/>
      <c r="AD83" s="413"/>
      <c r="AE83" s="413"/>
      <c r="AF83" s="413"/>
      <c r="AG83" s="413"/>
      <c r="AH83" s="413">
        <v>1</v>
      </c>
      <c r="AI83" s="413"/>
      <c r="AJ83" s="413"/>
      <c r="AK83" s="413"/>
      <c r="AL83" s="413"/>
      <c r="AM83" s="193"/>
      <c r="AN83" s="408">
        <f t="shared" si="36"/>
        <v>1</v>
      </c>
      <c r="AO83" s="251"/>
      <c r="AP83" s="32">
        <f t="shared" ca="1" si="42"/>
        <v>72.59729743678254</v>
      </c>
      <c r="AQ83" s="260">
        <f t="shared" ca="1" si="37"/>
        <v>0</v>
      </c>
    </row>
    <row r="84" spans="1:43" hidden="1" outlineLevel="1" x14ac:dyDescent="0.3">
      <c r="A84" s="26" t="s">
        <v>577</v>
      </c>
      <c r="B84" s="26" t="s">
        <v>185</v>
      </c>
      <c r="C84" s="27">
        <v>1</v>
      </c>
      <c r="D84" s="129" t="s">
        <v>707</v>
      </c>
      <c r="E84" s="293" t="s">
        <v>336</v>
      </c>
      <c r="F84" s="286"/>
      <c r="G84" s="128"/>
      <c r="H84" s="128"/>
      <c r="I84" s="451" t="s">
        <v>350</v>
      </c>
      <c r="J84" s="27"/>
      <c r="K84" s="27"/>
      <c r="L84" s="27"/>
      <c r="M84" s="27"/>
      <c r="N84" s="27"/>
      <c r="O84" s="27"/>
      <c r="P84" s="46">
        <v>50</v>
      </c>
      <c r="Q84" s="46">
        <v>60</v>
      </c>
      <c r="R84" s="191">
        <f t="shared" si="39"/>
        <v>0.15811673821465591</v>
      </c>
      <c r="S84" s="32">
        <f t="shared" ca="1" si="40"/>
        <v>36.29864871839127</v>
      </c>
      <c r="T84" s="396">
        <v>0.1</v>
      </c>
      <c r="U84" s="32">
        <f t="shared" ca="1" si="41"/>
        <v>36.29864871839127</v>
      </c>
      <c r="V84" s="27"/>
      <c r="W84" s="26" t="s">
        <v>704</v>
      </c>
      <c r="X84" s="27"/>
      <c r="Y84" s="413"/>
      <c r="Z84" s="413"/>
      <c r="AA84" s="413"/>
      <c r="AB84" s="413"/>
      <c r="AC84" s="413"/>
      <c r="AD84" s="413"/>
      <c r="AE84" s="413"/>
      <c r="AF84" s="413"/>
      <c r="AG84" s="413"/>
      <c r="AH84" s="413">
        <v>1</v>
      </c>
      <c r="AI84" s="413"/>
      <c r="AJ84" s="413"/>
      <c r="AK84" s="413"/>
      <c r="AL84" s="413"/>
      <c r="AM84" s="193"/>
      <c r="AN84" s="408">
        <f t="shared" si="36"/>
        <v>1</v>
      </c>
      <c r="AO84" s="251"/>
      <c r="AP84" s="32">
        <f t="shared" ca="1" si="42"/>
        <v>36.29864871839127</v>
      </c>
      <c r="AQ84" s="260">
        <f t="shared" ca="1" si="37"/>
        <v>0</v>
      </c>
    </row>
    <row r="85" spans="1:43" hidden="1" outlineLevel="1" x14ac:dyDescent="0.3">
      <c r="A85" s="26" t="s">
        <v>577</v>
      </c>
      <c r="B85" s="26" t="s">
        <v>185</v>
      </c>
      <c r="C85" s="27">
        <v>1</v>
      </c>
      <c r="D85" s="129" t="s">
        <v>707</v>
      </c>
      <c r="E85" s="293" t="s">
        <v>337</v>
      </c>
      <c r="F85" s="286"/>
      <c r="G85" s="128"/>
      <c r="H85" s="128"/>
      <c r="I85" s="451" t="s">
        <v>350</v>
      </c>
      <c r="J85" s="27"/>
      <c r="K85" s="27"/>
      <c r="L85" s="27"/>
      <c r="M85" s="27"/>
      <c r="N85" s="27"/>
      <c r="O85" s="27"/>
      <c r="P85" s="46">
        <v>50</v>
      </c>
      <c r="Q85" s="46">
        <v>60</v>
      </c>
      <c r="R85" s="191">
        <f t="shared" si="39"/>
        <v>0.15811673821465591</v>
      </c>
      <c r="S85" s="32">
        <f t="shared" ca="1" si="40"/>
        <v>36.29864871839127</v>
      </c>
      <c r="T85" s="396">
        <v>0.1</v>
      </c>
      <c r="U85" s="32">
        <f t="shared" ca="1" si="41"/>
        <v>36.29864871839127</v>
      </c>
      <c r="V85" s="27"/>
      <c r="W85" s="26" t="s">
        <v>704</v>
      </c>
      <c r="X85" s="27"/>
      <c r="Y85" s="413"/>
      <c r="Z85" s="413"/>
      <c r="AA85" s="413"/>
      <c r="AB85" s="413"/>
      <c r="AC85" s="413"/>
      <c r="AD85" s="413"/>
      <c r="AE85" s="413"/>
      <c r="AF85" s="413"/>
      <c r="AG85" s="413"/>
      <c r="AH85" s="413">
        <v>1</v>
      </c>
      <c r="AI85" s="413"/>
      <c r="AJ85" s="413"/>
      <c r="AK85" s="413"/>
      <c r="AL85" s="413"/>
      <c r="AM85" s="193"/>
      <c r="AN85" s="408">
        <f t="shared" si="36"/>
        <v>1</v>
      </c>
      <c r="AO85" s="251"/>
      <c r="AP85" s="32">
        <f t="shared" ca="1" si="42"/>
        <v>36.29864871839127</v>
      </c>
      <c r="AQ85" s="260">
        <f t="shared" ca="1" si="37"/>
        <v>0</v>
      </c>
    </row>
    <row r="86" spans="1:43" hidden="1" outlineLevel="1" x14ac:dyDescent="0.3">
      <c r="A86" s="26" t="s">
        <v>577</v>
      </c>
      <c r="B86" s="26" t="s">
        <v>185</v>
      </c>
      <c r="C86" s="27">
        <v>1</v>
      </c>
      <c r="D86" s="129" t="s">
        <v>707</v>
      </c>
      <c r="E86" s="293" t="s">
        <v>321</v>
      </c>
      <c r="F86" s="286"/>
      <c r="G86" s="128"/>
      <c r="H86" s="128"/>
      <c r="I86" s="451" t="s">
        <v>350</v>
      </c>
      <c r="J86" s="27"/>
      <c r="K86" s="27"/>
      <c r="L86" s="27"/>
      <c r="M86" s="27"/>
      <c r="N86" s="27"/>
      <c r="O86" s="27"/>
      <c r="P86" s="46">
        <v>100</v>
      </c>
      <c r="Q86" s="46">
        <v>120</v>
      </c>
      <c r="R86" s="191">
        <f t="shared" si="39"/>
        <v>0.15811673821465591</v>
      </c>
      <c r="S86" s="32">
        <f t="shared" ca="1" si="40"/>
        <v>72.59729743678254</v>
      </c>
      <c r="T86" s="396">
        <v>0.1</v>
      </c>
      <c r="U86" s="32">
        <f t="shared" ca="1" si="41"/>
        <v>72.59729743678254</v>
      </c>
      <c r="V86" s="27"/>
      <c r="W86" s="26" t="s">
        <v>704</v>
      </c>
      <c r="X86" s="27"/>
      <c r="Y86" s="413"/>
      <c r="Z86" s="413"/>
      <c r="AA86" s="413"/>
      <c r="AB86" s="413"/>
      <c r="AC86" s="413"/>
      <c r="AD86" s="413"/>
      <c r="AE86" s="413"/>
      <c r="AF86" s="413"/>
      <c r="AG86" s="413"/>
      <c r="AH86" s="413">
        <v>1</v>
      </c>
      <c r="AI86" s="413"/>
      <c r="AJ86" s="413"/>
      <c r="AK86" s="413"/>
      <c r="AL86" s="413"/>
      <c r="AM86" s="193"/>
      <c r="AN86" s="408">
        <f t="shared" si="36"/>
        <v>1</v>
      </c>
      <c r="AO86" s="251"/>
      <c r="AP86" s="32">
        <f t="shared" ca="1" si="42"/>
        <v>72.59729743678254</v>
      </c>
      <c r="AQ86" s="260">
        <f t="shared" ca="1" si="37"/>
        <v>0</v>
      </c>
    </row>
    <row r="87" spans="1:43" hidden="1" outlineLevel="1" x14ac:dyDescent="0.3">
      <c r="A87" s="26" t="s">
        <v>577</v>
      </c>
      <c r="B87" s="26" t="s">
        <v>185</v>
      </c>
      <c r="C87" s="27">
        <v>1</v>
      </c>
      <c r="D87" s="129" t="s">
        <v>707</v>
      </c>
      <c r="E87" s="293" t="s">
        <v>352</v>
      </c>
      <c r="F87" s="286"/>
      <c r="G87" s="128"/>
      <c r="H87" s="128"/>
      <c r="I87" s="451" t="s">
        <v>350</v>
      </c>
      <c r="J87" s="27"/>
      <c r="K87" s="27"/>
      <c r="L87" s="27"/>
      <c r="M87" s="27"/>
      <c r="N87" s="27"/>
      <c r="O87" s="27"/>
      <c r="P87" s="46">
        <v>100</v>
      </c>
      <c r="Q87" s="46">
        <v>120</v>
      </c>
      <c r="R87" s="191">
        <f t="shared" si="39"/>
        <v>0.15811673821465591</v>
      </c>
      <c r="S87" s="32">
        <f t="shared" ca="1" si="40"/>
        <v>72.59729743678254</v>
      </c>
      <c r="T87" s="396">
        <v>0.1</v>
      </c>
      <c r="U87" s="32">
        <f t="shared" ca="1" si="41"/>
        <v>72.59729743678254</v>
      </c>
      <c r="V87" s="27"/>
      <c r="W87" s="26" t="s">
        <v>704</v>
      </c>
      <c r="X87" s="27"/>
      <c r="Y87" s="413"/>
      <c r="Z87" s="413"/>
      <c r="AA87" s="413"/>
      <c r="AB87" s="413"/>
      <c r="AC87" s="413"/>
      <c r="AD87" s="413"/>
      <c r="AE87" s="413"/>
      <c r="AF87" s="413"/>
      <c r="AG87" s="413"/>
      <c r="AH87" s="413">
        <v>1</v>
      </c>
      <c r="AI87" s="413"/>
      <c r="AJ87" s="413"/>
      <c r="AK87" s="413"/>
      <c r="AL87" s="413"/>
      <c r="AM87" s="193"/>
      <c r="AN87" s="408">
        <f t="shared" si="36"/>
        <v>1</v>
      </c>
      <c r="AO87" s="251"/>
      <c r="AP87" s="32">
        <f t="shared" ca="1" si="42"/>
        <v>72.59729743678254</v>
      </c>
      <c r="AQ87" s="260">
        <f t="shared" ca="1" si="37"/>
        <v>0</v>
      </c>
    </row>
    <row r="88" spans="1:43" hidden="1" outlineLevel="1" x14ac:dyDescent="0.3">
      <c r="A88" s="26" t="s">
        <v>577</v>
      </c>
      <c r="B88" s="26" t="s">
        <v>185</v>
      </c>
      <c r="C88" s="27">
        <v>1</v>
      </c>
      <c r="D88" s="129" t="s">
        <v>707</v>
      </c>
      <c r="E88" s="293" t="s">
        <v>354</v>
      </c>
      <c r="F88" s="286"/>
      <c r="G88" s="128"/>
      <c r="H88" s="128"/>
      <c r="I88" s="451" t="s">
        <v>353</v>
      </c>
      <c r="J88" s="27"/>
      <c r="K88" s="27"/>
      <c r="L88" s="27"/>
      <c r="M88" s="27"/>
      <c r="N88" s="27"/>
      <c r="O88" s="27"/>
      <c r="P88" s="46">
        <v>500</v>
      </c>
      <c r="Q88" s="46">
        <v>750</v>
      </c>
      <c r="R88" s="191">
        <f t="shared" si="39"/>
        <v>0.27701740035088379</v>
      </c>
      <c r="S88" s="32">
        <f t="shared" ca="1" si="40"/>
        <v>245.28492074777444</v>
      </c>
      <c r="T88" s="396">
        <v>0.1</v>
      </c>
      <c r="U88" s="32">
        <f t="shared" ca="1" si="41"/>
        <v>245.28492074777444</v>
      </c>
      <c r="V88" s="27"/>
      <c r="W88" s="26" t="s">
        <v>704</v>
      </c>
      <c r="X88" s="27"/>
      <c r="Y88" s="413"/>
      <c r="Z88" s="413"/>
      <c r="AA88" s="413"/>
      <c r="AB88" s="413"/>
      <c r="AC88" s="413"/>
      <c r="AD88" s="413"/>
      <c r="AE88" s="413"/>
      <c r="AF88" s="413"/>
      <c r="AG88" s="413"/>
      <c r="AH88" s="413">
        <v>1</v>
      </c>
      <c r="AI88" s="413"/>
      <c r="AJ88" s="413"/>
      <c r="AK88" s="413"/>
      <c r="AL88" s="413"/>
      <c r="AM88" s="193"/>
      <c r="AN88" s="408">
        <f t="shared" si="36"/>
        <v>1</v>
      </c>
      <c r="AO88" s="251"/>
      <c r="AP88" s="32">
        <f t="shared" ref="AP88:AP94" ca="1" si="43">U88*AN88</f>
        <v>245.28492074777444</v>
      </c>
      <c r="AQ88" s="260">
        <f t="shared" ca="1" si="37"/>
        <v>0</v>
      </c>
    </row>
    <row r="89" spans="1:43" hidden="1" outlineLevel="1" x14ac:dyDescent="0.3">
      <c r="A89" s="26" t="s">
        <v>577</v>
      </c>
      <c r="B89" s="26" t="s">
        <v>185</v>
      </c>
      <c r="C89" s="27">
        <v>1</v>
      </c>
      <c r="D89" s="129" t="s">
        <v>707</v>
      </c>
      <c r="E89" s="293" t="s">
        <v>355</v>
      </c>
      <c r="F89" s="286"/>
      <c r="G89" s="128"/>
      <c r="H89" s="128"/>
      <c r="I89" s="451" t="s">
        <v>353</v>
      </c>
      <c r="J89" s="27"/>
      <c r="K89" s="27"/>
      <c r="L89" s="27"/>
      <c r="M89" s="27"/>
      <c r="N89" s="27"/>
      <c r="O89" s="27"/>
      <c r="P89" s="46">
        <v>500</v>
      </c>
      <c r="Q89" s="46">
        <v>750</v>
      </c>
      <c r="R89" s="191">
        <f t="shared" si="39"/>
        <v>0.27701740035088379</v>
      </c>
      <c r="S89" s="32">
        <f t="shared" ca="1" si="40"/>
        <v>245.28492074777444</v>
      </c>
      <c r="T89" s="396">
        <v>0.1</v>
      </c>
      <c r="U89" s="32">
        <f t="shared" ca="1" si="41"/>
        <v>245.28492074777444</v>
      </c>
      <c r="V89" s="27"/>
      <c r="W89" s="26" t="s">
        <v>704</v>
      </c>
      <c r="X89" s="27"/>
      <c r="Y89" s="413"/>
      <c r="Z89" s="413"/>
      <c r="AA89" s="413"/>
      <c r="AB89" s="413"/>
      <c r="AC89" s="413"/>
      <c r="AD89" s="413"/>
      <c r="AE89" s="413"/>
      <c r="AF89" s="413"/>
      <c r="AG89" s="413"/>
      <c r="AH89" s="413">
        <v>1</v>
      </c>
      <c r="AI89" s="413"/>
      <c r="AJ89" s="413"/>
      <c r="AK89" s="413"/>
      <c r="AL89" s="413"/>
      <c r="AM89" s="193"/>
      <c r="AN89" s="408">
        <f t="shared" si="36"/>
        <v>1</v>
      </c>
      <c r="AO89" s="251"/>
      <c r="AP89" s="32">
        <f t="shared" ca="1" si="43"/>
        <v>245.28492074777444</v>
      </c>
      <c r="AQ89" s="260">
        <f t="shared" ca="1" si="37"/>
        <v>0</v>
      </c>
    </row>
    <row r="90" spans="1:43" hidden="1" outlineLevel="1" x14ac:dyDescent="0.3">
      <c r="A90" s="26" t="s">
        <v>577</v>
      </c>
      <c r="B90" s="26" t="s">
        <v>185</v>
      </c>
      <c r="C90" s="27">
        <v>1</v>
      </c>
      <c r="D90" s="129" t="s">
        <v>707</v>
      </c>
      <c r="E90" s="293" t="s">
        <v>356</v>
      </c>
      <c r="F90" s="286"/>
      <c r="G90" s="128"/>
      <c r="H90" s="128"/>
      <c r="I90" s="451" t="s">
        <v>353</v>
      </c>
      <c r="J90" s="27"/>
      <c r="K90" s="27"/>
      <c r="L90" s="27"/>
      <c r="M90" s="27"/>
      <c r="N90" s="27"/>
      <c r="O90" s="27"/>
      <c r="P90" s="46">
        <v>500</v>
      </c>
      <c r="Q90" s="46">
        <v>750</v>
      </c>
      <c r="R90" s="191">
        <f t="shared" si="39"/>
        <v>0.27701740035088379</v>
      </c>
      <c r="S90" s="32">
        <f t="shared" ca="1" si="40"/>
        <v>245.28492074777444</v>
      </c>
      <c r="T90" s="396">
        <v>0.1</v>
      </c>
      <c r="U90" s="32">
        <f t="shared" ca="1" si="41"/>
        <v>245.28492074777444</v>
      </c>
      <c r="V90" s="27"/>
      <c r="W90" s="26" t="s">
        <v>704</v>
      </c>
      <c r="X90" s="27"/>
      <c r="Y90" s="413"/>
      <c r="Z90" s="413"/>
      <c r="AA90" s="413"/>
      <c r="AB90" s="413"/>
      <c r="AC90" s="413"/>
      <c r="AD90" s="413"/>
      <c r="AE90" s="413"/>
      <c r="AF90" s="413"/>
      <c r="AG90" s="413"/>
      <c r="AH90" s="413">
        <v>1</v>
      </c>
      <c r="AI90" s="413"/>
      <c r="AJ90" s="413"/>
      <c r="AK90" s="413"/>
      <c r="AL90" s="413"/>
      <c r="AM90" s="193"/>
      <c r="AN90" s="408">
        <f t="shared" si="36"/>
        <v>1</v>
      </c>
      <c r="AO90" s="251"/>
      <c r="AP90" s="32">
        <f t="shared" ca="1" si="43"/>
        <v>245.28492074777444</v>
      </c>
      <c r="AQ90" s="260">
        <f t="shared" ca="1" si="37"/>
        <v>0</v>
      </c>
    </row>
    <row r="91" spans="1:43" hidden="1" outlineLevel="1" x14ac:dyDescent="0.3">
      <c r="A91" s="26" t="s">
        <v>577</v>
      </c>
      <c r="B91" s="26" t="s">
        <v>185</v>
      </c>
      <c r="C91" s="27">
        <v>1</v>
      </c>
      <c r="D91" s="129" t="s">
        <v>707</v>
      </c>
      <c r="E91" s="293" t="s">
        <v>357</v>
      </c>
      <c r="F91" s="286"/>
      <c r="G91" s="128"/>
      <c r="H91" s="128"/>
      <c r="I91" s="451" t="s">
        <v>353</v>
      </c>
      <c r="J91" s="27"/>
      <c r="K91" s="27"/>
      <c r="L91" s="27"/>
      <c r="M91" s="27"/>
      <c r="N91" s="27"/>
      <c r="O91" s="27"/>
      <c r="P91" s="46">
        <v>500</v>
      </c>
      <c r="Q91" s="46">
        <v>750</v>
      </c>
      <c r="R91" s="191">
        <f t="shared" si="39"/>
        <v>0.27701740035088379</v>
      </c>
      <c r="S91" s="32">
        <f t="shared" ca="1" si="40"/>
        <v>245.28492074777444</v>
      </c>
      <c r="T91" s="396">
        <v>0.1</v>
      </c>
      <c r="U91" s="32">
        <f t="shared" ca="1" si="41"/>
        <v>245.28492074777444</v>
      </c>
      <c r="V91" s="27"/>
      <c r="W91" s="26" t="s">
        <v>704</v>
      </c>
      <c r="X91" s="27"/>
      <c r="Y91" s="413"/>
      <c r="Z91" s="413"/>
      <c r="AA91" s="413"/>
      <c r="AB91" s="413"/>
      <c r="AC91" s="413"/>
      <c r="AD91" s="413"/>
      <c r="AE91" s="413"/>
      <c r="AF91" s="413"/>
      <c r="AG91" s="413"/>
      <c r="AH91" s="413">
        <v>1</v>
      </c>
      <c r="AI91" s="413"/>
      <c r="AJ91" s="413"/>
      <c r="AK91" s="413"/>
      <c r="AL91" s="413"/>
      <c r="AM91" s="193"/>
      <c r="AN91" s="408">
        <f t="shared" si="36"/>
        <v>1</v>
      </c>
      <c r="AO91" s="251"/>
      <c r="AP91" s="32">
        <f t="shared" ca="1" si="43"/>
        <v>245.28492074777444</v>
      </c>
      <c r="AQ91" s="260">
        <f t="shared" ca="1" si="37"/>
        <v>0</v>
      </c>
    </row>
    <row r="92" spans="1:43" hidden="1" outlineLevel="1" x14ac:dyDescent="0.3">
      <c r="A92" s="26" t="s">
        <v>577</v>
      </c>
      <c r="B92" s="26" t="s">
        <v>185</v>
      </c>
      <c r="C92" s="27">
        <v>1</v>
      </c>
      <c r="D92" s="129" t="s">
        <v>707</v>
      </c>
      <c r="E92" s="293" t="s">
        <v>359</v>
      </c>
      <c r="F92" s="286"/>
      <c r="G92" s="128"/>
      <c r="H92" s="128"/>
      <c r="I92" s="451" t="s">
        <v>358</v>
      </c>
      <c r="J92" s="27"/>
      <c r="K92" s="27"/>
      <c r="L92" s="27"/>
      <c r="M92" s="27"/>
      <c r="N92" s="27"/>
      <c r="O92" s="27"/>
      <c r="P92" s="46">
        <v>100</v>
      </c>
      <c r="Q92" s="46">
        <v>120</v>
      </c>
      <c r="R92" s="191">
        <f t="shared" si="39"/>
        <v>0.15811673821465591</v>
      </c>
      <c r="S92" s="32">
        <f t="shared" ca="1" si="40"/>
        <v>72.59729743678254</v>
      </c>
      <c r="T92" s="396">
        <v>0.1</v>
      </c>
      <c r="U92" s="32">
        <f t="shared" ca="1" si="41"/>
        <v>72.59729743678254</v>
      </c>
      <c r="V92" s="27"/>
      <c r="W92" s="26" t="s">
        <v>704</v>
      </c>
      <c r="X92" s="27"/>
      <c r="Y92" s="413"/>
      <c r="Z92" s="413"/>
      <c r="AA92" s="413"/>
      <c r="AB92" s="413"/>
      <c r="AC92" s="413"/>
      <c r="AD92" s="413"/>
      <c r="AE92" s="413"/>
      <c r="AF92" s="413"/>
      <c r="AG92" s="413"/>
      <c r="AH92" s="413">
        <v>1</v>
      </c>
      <c r="AI92" s="413"/>
      <c r="AJ92" s="413"/>
      <c r="AK92" s="413"/>
      <c r="AL92" s="413"/>
      <c r="AM92" s="193"/>
      <c r="AN92" s="408">
        <f t="shared" si="36"/>
        <v>1</v>
      </c>
      <c r="AO92" s="251"/>
      <c r="AP92" s="32">
        <f t="shared" ca="1" si="43"/>
        <v>72.59729743678254</v>
      </c>
      <c r="AQ92" s="260">
        <f t="shared" ca="1" si="37"/>
        <v>0</v>
      </c>
    </row>
    <row r="93" spans="1:43" hidden="1" outlineLevel="1" x14ac:dyDescent="0.3">
      <c r="A93" s="26" t="s">
        <v>577</v>
      </c>
      <c r="B93" s="26" t="s">
        <v>185</v>
      </c>
      <c r="C93" s="27">
        <v>1</v>
      </c>
      <c r="D93" s="129" t="s">
        <v>707</v>
      </c>
      <c r="E93" s="293" t="s">
        <v>360</v>
      </c>
      <c r="F93" s="286"/>
      <c r="G93" s="128"/>
      <c r="H93" s="128"/>
      <c r="I93" s="451" t="s">
        <v>358</v>
      </c>
      <c r="J93" s="27"/>
      <c r="K93" s="27"/>
      <c r="L93" s="27"/>
      <c r="M93" s="27"/>
      <c r="N93" s="27"/>
      <c r="O93" s="27"/>
      <c r="P93" s="46">
        <v>500</v>
      </c>
      <c r="Q93" s="46">
        <v>600</v>
      </c>
      <c r="R93" s="191">
        <f t="shared" si="39"/>
        <v>0.15811673821465591</v>
      </c>
      <c r="S93" s="32">
        <f t="shared" ca="1" si="40"/>
        <v>362.98648718391269</v>
      </c>
      <c r="T93" s="396">
        <v>0.1</v>
      </c>
      <c r="U93" s="32">
        <f t="shared" ca="1" si="41"/>
        <v>362.98648718391269</v>
      </c>
      <c r="V93" s="27"/>
      <c r="W93" s="26" t="s">
        <v>704</v>
      </c>
      <c r="X93" s="27"/>
      <c r="Y93" s="413"/>
      <c r="Z93" s="413"/>
      <c r="AA93" s="413"/>
      <c r="AB93" s="413"/>
      <c r="AC93" s="413"/>
      <c r="AD93" s="413"/>
      <c r="AE93" s="413"/>
      <c r="AF93" s="413"/>
      <c r="AG93" s="413"/>
      <c r="AH93" s="413"/>
      <c r="AI93" s="413">
        <v>1</v>
      </c>
      <c r="AJ93" s="413"/>
      <c r="AK93" s="413"/>
      <c r="AL93" s="413"/>
      <c r="AM93" s="193"/>
      <c r="AN93" s="408">
        <f t="shared" si="36"/>
        <v>1</v>
      </c>
      <c r="AO93" s="251"/>
      <c r="AP93" s="32">
        <f t="shared" ca="1" si="43"/>
        <v>362.98648718391269</v>
      </c>
      <c r="AQ93" s="260">
        <f t="shared" ca="1" si="37"/>
        <v>0</v>
      </c>
    </row>
    <row r="94" spans="1:43" hidden="1" outlineLevel="1" x14ac:dyDescent="0.3">
      <c r="A94" s="26" t="s">
        <v>577</v>
      </c>
      <c r="B94" s="26" t="s">
        <v>185</v>
      </c>
      <c r="C94" s="27">
        <v>1</v>
      </c>
      <c r="D94" s="129" t="s">
        <v>707</v>
      </c>
      <c r="E94" s="305" t="s">
        <v>361</v>
      </c>
      <c r="F94" s="304"/>
      <c r="G94" s="141"/>
      <c r="H94" s="141"/>
      <c r="I94" s="452" t="s">
        <v>358</v>
      </c>
      <c r="J94" s="188"/>
      <c r="K94" s="188"/>
      <c r="L94" s="188"/>
      <c r="M94" s="188"/>
      <c r="N94" s="188"/>
      <c r="O94" s="188"/>
      <c r="P94" s="318">
        <v>3000</v>
      </c>
      <c r="Q94" s="318">
        <v>3000</v>
      </c>
      <c r="R94" s="270">
        <f t="shared" si="39"/>
        <v>0.1</v>
      </c>
      <c r="S94" s="265">
        <f t="shared" ca="1" si="40"/>
        <v>3000</v>
      </c>
      <c r="T94" s="397">
        <v>0.1</v>
      </c>
      <c r="U94" s="265">
        <f t="shared" ca="1" si="41"/>
        <v>3000</v>
      </c>
      <c r="V94" s="188"/>
      <c r="W94" s="144" t="s">
        <v>704</v>
      </c>
      <c r="X94" s="188"/>
      <c r="Y94" s="414"/>
      <c r="Z94" s="414"/>
      <c r="AA94" s="414"/>
      <c r="AB94" s="414"/>
      <c r="AC94" s="414"/>
      <c r="AD94" s="414"/>
      <c r="AE94" s="414"/>
      <c r="AF94" s="414"/>
      <c r="AG94" s="414"/>
      <c r="AH94" s="414"/>
      <c r="AI94" s="414"/>
      <c r="AJ94" s="414">
        <v>1</v>
      </c>
      <c r="AK94" s="414"/>
      <c r="AL94" s="414"/>
      <c r="AM94" s="407"/>
      <c r="AN94" s="409">
        <f t="shared" si="36"/>
        <v>1</v>
      </c>
      <c r="AO94" s="399"/>
      <c r="AP94" s="265">
        <f t="shared" ca="1" si="43"/>
        <v>3000</v>
      </c>
      <c r="AQ94" s="260">
        <f t="shared" ca="1" si="37"/>
        <v>0</v>
      </c>
    </row>
    <row r="95" spans="1:43" s="260" customFormat="1" collapsed="1" x14ac:dyDescent="0.3">
      <c r="A95" s="26" t="s">
        <v>577</v>
      </c>
      <c r="B95" s="26" t="s">
        <v>185</v>
      </c>
      <c r="C95" s="27">
        <v>2</v>
      </c>
      <c r="D95" s="129" t="s">
        <v>707</v>
      </c>
      <c r="E95" s="279" t="s">
        <v>569</v>
      </c>
      <c r="F95" s="239"/>
      <c r="G95" s="239"/>
      <c r="H95" s="239"/>
      <c r="I95" s="234"/>
      <c r="J95" s="234"/>
      <c r="K95" s="234"/>
      <c r="L95" s="234"/>
      <c r="M95" s="234"/>
      <c r="N95" s="234"/>
      <c r="O95" s="234"/>
      <c r="P95" s="234">
        <f>SUM(P82:P94)</f>
        <v>6050</v>
      </c>
      <c r="Q95" s="234">
        <f>SUM(Q82:Q94)</f>
        <v>7260</v>
      </c>
      <c r="R95" s="235">
        <f t="shared" si="39"/>
        <v>0.15811673821465591</v>
      </c>
      <c r="S95" s="234">
        <f ca="1">SUM(S82:S94)</f>
        <v>4743.4113060773143</v>
      </c>
      <c r="T95" s="235">
        <f ca="1">IFERROR(10^(LOG(U95/S95)/LOG(Q_prototype)-1),0)</f>
        <v>0.1</v>
      </c>
      <c r="U95" s="234">
        <f ca="1">SUM(U82:U94)</f>
        <v>4743.4113060773143</v>
      </c>
      <c r="V95" s="140"/>
      <c r="W95" s="260" t="s">
        <v>305</v>
      </c>
      <c r="X95" s="140"/>
      <c r="Y95" s="261">
        <f t="shared" ref="Y95:AL95" ca="1" si="44">SUMPRODUCT($U82:$U94,Y82:Y94)</f>
        <v>0</v>
      </c>
      <c r="Z95" s="261">
        <f t="shared" ca="1" si="44"/>
        <v>0</v>
      </c>
      <c r="AA95" s="261">
        <f t="shared" ca="1" si="44"/>
        <v>0</v>
      </c>
      <c r="AB95" s="261">
        <f t="shared" ca="1" si="44"/>
        <v>0</v>
      </c>
      <c r="AC95" s="261">
        <f t="shared" ca="1" si="44"/>
        <v>0</v>
      </c>
      <c r="AD95" s="261">
        <f t="shared" ca="1" si="44"/>
        <v>0</v>
      </c>
      <c r="AE95" s="261">
        <f t="shared" ca="1" si="44"/>
        <v>0</v>
      </c>
      <c r="AF95" s="261">
        <f t="shared" ca="1" si="44"/>
        <v>0</v>
      </c>
      <c r="AG95" s="261">
        <f t="shared" ca="1" si="44"/>
        <v>0</v>
      </c>
      <c r="AH95" s="261">
        <f t="shared" ca="1" si="44"/>
        <v>1380.4248188934018</v>
      </c>
      <c r="AI95" s="261">
        <f t="shared" ca="1" si="44"/>
        <v>362.98648718391269</v>
      </c>
      <c r="AJ95" s="261">
        <f t="shared" ca="1" si="44"/>
        <v>3000</v>
      </c>
      <c r="AK95" s="261">
        <f t="shared" ca="1" si="44"/>
        <v>0</v>
      </c>
      <c r="AL95" s="261">
        <f t="shared" ca="1" si="44"/>
        <v>0</v>
      </c>
      <c r="AM95" s="140"/>
      <c r="AN95" s="234">
        <f t="shared" ca="1" si="36"/>
        <v>4743.4113060773143</v>
      </c>
      <c r="AO95" s="308"/>
      <c r="AP95" s="234">
        <f ca="1">SUM(AP82:AP94)</f>
        <v>4743.4113060773143</v>
      </c>
      <c r="AQ95" s="260">
        <f t="shared" ca="1" si="37"/>
        <v>0</v>
      </c>
    </row>
    <row r="96" spans="1:43" hidden="1" outlineLevel="1" x14ac:dyDescent="0.3">
      <c r="C96"/>
      <c r="D96" s="139"/>
      <c r="E96" s="128"/>
      <c r="L96" s="134"/>
      <c r="M96" s="134"/>
      <c r="N96" s="26"/>
      <c r="O96" s="27"/>
      <c r="Q96" s="27"/>
      <c r="V96" s="27"/>
      <c r="X96" s="27"/>
      <c r="Y96" s="26"/>
      <c r="AQ96" s="260">
        <f t="shared" si="37"/>
        <v>0</v>
      </c>
    </row>
    <row r="97" spans="1:43" collapsed="1" x14ac:dyDescent="0.3">
      <c r="A97" s="346"/>
      <c r="B97" s="242" t="s">
        <v>185</v>
      </c>
      <c r="C97" s="27">
        <v>3</v>
      </c>
      <c r="D97" s="129" t="s">
        <v>707</v>
      </c>
      <c r="E97" s="230" t="s">
        <v>694</v>
      </c>
      <c r="F97" s="230"/>
      <c r="G97" s="230"/>
      <c r="H97" s="230"/>
      <c r="I97" s="230"/>
      <c r="J97" s="230"/>
      <c r="K97" s="230"/>
      <c r="L97" s="229"/>
      <c r="M97" s="229"/>
      <c r="N97" s="229"/>
      <c r="O97" s="229"/>
      <c r="P97" s="229">
        <f>P95+P60+P80+P48</f>
        <v>23413</v>
      </c>
      <c r="Q97" s="229">
        <f>Q95+Q60+Q80+Q48</f>
        <v>31980</v>
      </c>
      <c r="R97" s="272">
        <f>10^(LOG(Q97/P97)/LOG(Q$6/P$6)-1)</f>
        <v>0.21893039191677749</v>
      </c>
      <c r="S97" s="229">
        <f ca="1">S95+S60+S80+S48</f>
        <v>15328.434566062311</v>
      </c>
      <c r="T97" s="405">
        <f ca="1">IFERROR(10^(LOG(U97/S97)/LOG(Q_prototype)-1),0)</f>
        <v>0.13715328719569733</v>
      </c>
      <c r="U97" s="229">
        <f ca="1">U95+U60+U80+U48</f>
        <v>16857.803699429507</v>
      </c>
      <c r="V97" s="333"/>
      <c r="W97" s="26" t="s">
        <v>305</v>
      </c>
      <c r="X97" s="333"/>
      <c r="Y97" s="262">
        <f t="shared" ref="Y97:AL97" ca="1" si="45">Y95+Y60+Y80+Y48</f>
        <v>0</v>
      </c>
      <c r="Z97" s="262">
        <f t="shared" ca="1" si="45"/>
        <v>250</v>
      </c>
      <c r="AA97" s="262">
        <f t="shared" ca="1" si="45"/>
        <v>250</v>
      </c>
      <c r="AB97" s="262">
        <f t="shared" ca="1" si="45"/>
        <v>1088.9594615517381</v>
      </c>
      <c r="AC97" s="262">
        <f t="shared" ca="1" si="45"/>
        <v>1964.9324359195634</v>
      </c>
      <c r="AD97" s="262">
        <f t="shared" ca="1" si="45"/>
        <v>4537.0291500822887</v>
      </c>
      <c r="AE97" s="262">
        <f t="shared" ca="1" si="45"/>
        <v>2274.9417381586009</v>
      </c>
      <c r="AF97" s="262">
        <f t="shared" ca="1" si="45"/>
        <v>996.793899108809</v>
      </c>
      <c r="AG97" s="262">
        <f t="shared" ca="1" si="45"/>
        <v>751.73570853119293</v>
      </c>
      <c r="AH97" s="262">
        <f t="shared" ca="1" si="45"/>
        <v>1380.4248188934018</v>
      </c>
      <c r="AI97" s="262">
        <f t="shared" ca="1" si="45"/>
        <v>362.98648718391269</v>
      </c>
      <c r="AJ97" s="262">
        <f t="shared" ca="1" si="45"/>
        <v>3000</v>
      </c>
      <c r="AK97" s="262">
        <f t="shared" ca="1" si="45"/>
        <v>0</v>
      </c>
      <c r="AL97" s="341">
        <f t="shared" ca="1" si="45"/>
        <v>0</v>
      </c>
      <c r="AM97" s="336"/>
      <c r="AN97" s="229">
        <f t="shared" ca="1" si="36"/>
        <v>16857.803699429503</v>
      </c>
      <c r="AO97" s="314"/>
      <c r="AP97" s="229">
        <f ca="1">AP95+AP60+AP80+AP48</f>
        <v>16857.803699429507</v>
      </c>
      <c r="AQ97" s="260">
        <f t="shared" ca="1" si="37"/>
        <v>0</v>
      </c>
    </row>
    <row r="98" spans="1:43" ht="16.5" x14ac:dyDescent="0.3">
      <c r="C98"/>
      <c r="D98" s="139"/>
      <c r="E98" s="173"/>
      <c r="F98" s="169"/>
      <c r="G98" s="169"/>
      <c r="L98" s="27"/>
      <c r="M98" s="27"/>
      <c r="N98" s="27"/>
      <c r="O98" s="27"/>
      <c r="P98"/>
      <c r="Q98"/>
      <c r="R98" s="76"/>
      <c r="S98" s="32"/>
      <c r="T98" s="76"/>
      <c r="U98" s="32"/>
      <c r="V98" s="26"/>
      <c r="X98" s="26"/>
      <c r="Y98" s="139"/>
      <c r="AA98" s="139"/>
      <c r="AB98" s="139"/>
      <c r="AC98" s="139"/>
      <c r="AD98" s="139"/>
      <c r="AE98" s="139"/>
      <c r="AF98" s="139"/>
      <c r="AG98" s="139"/>
      <c r="AH98" s="139"/>
      <c r="AI98" s="139"/>
      <c r="AJ98" s="139"/>
      <c r="AK98" s="139"/>
      <c r="AL98" s="139"/>
      <c r="AO98" s="251"/>
      <c r="AP98" s="32"/>
      <c r="AQ98" s="260">
        <f t="shared" si="37"/>
        <v>0</v>
      </c>
    </row>
    <row r="99" spans="1:43" hidden="1" outlineLevel="1" x14ac:dyDescent="0.3">
      <c r="B99" s="26" t="s">
        <v>194</v>
      </c>
      <c r="C99" s="27">
        <v>9</v>
      </c>
      <c r="D99" s="129" t="s">
        <v>695</v>
      </c>
      <c r="E99" s="289" t="s">
        <v>584</v>
      </c>
      <c r="F99" s="25"/>
      <c r="G99" s="25"/>
      <c r="L99" s="27"/>
      <c r="M99" s="27"/>
      <c r="N99" s="27"/>
      <c r="O99" s="27"/>
      <c r="P99"/>
      <c r="Q99"/>
      <c r="R99" s="273"/>
      <c r="S99" s="32"/>
      <c r="T99" s="273"/>
      <c r="U99" s="32"/>
      <c r="V99" s="139"/>
      <c r="X99" s="139"/>
      <c r="Y99" s="26"/>
      <c r="Z99" s="139"/>
      <c r="AA99" s="139"/>
      <c r="AB99" s="139"/>
      <c r="AC99" s="139"/>
      <c r="AD99" s="139"/>
      <c r="AE99" s="139"/>
      <c r="AF99" s="139"/>
      <c r="AG99" s="139"/>
      <c r="AH99" s="139"/>
      <c r="AI99" s="139"/>
      <c r="AJ99" s="139"/>
      <c r="AK99" s="139"/>
      <c r="AL99" s="139"/>
      <c r="AO99" s="251"/>
      <c r="AP99" s="32"/>
      <c r="AQ99" s="458">
        <f ca="1">AP99-U99*(1+employer_contributions)*average_wage</f>
        <v>0</v>
      </c>
    </row>
    <row r="100" spans="1:43" ht="16.5" hidden="1" outlineLevel="1" collapsed="1" x14ac:dyDescent="0.3">
      <c r="C100"/>
      <c r="D100" s="129" t="s">
        <v>695</v>
      </c>
      <c r="E100" s="173"/>
      <c r="F100" s="169"/>
      <c r="G100" s="169"/>
      <c r="L100" s="27"/>
      <c r="M100" s="27"/>
      <c r="N100" s="27"/>
      <c r="O100" s="27"/>
      <c r="P100"/>
      <c r="Q100"/>
      <c r="R100" s="76"/>
      <c r="S100" s="32"/>
      <c r="T100" s="76"/>
      <c r="U100" s="32"/>
      <c r="V100" s="26"/>
      <c r="X100" s="26"/>
      <c r="Y100" s="139"/>
      <c r="AA100" s="139"/>
      <c r="AB100" s="139"/>
      <c r="AC100" s="139"/>
      <c r="AD100" s="139"/>
      <c r="AE100" s="139"/>
      <c r="AF100" s="139"/>
      <c r="AG100" s="139"/>
      <c r="AH100" s="139"/>
      <c r="AI100" s="139"/>
      <c r="AJ100" s="139"/>
      <c r="AK100" s="139"/>
      <c r="AL100" s="139"/>
      <c r="AO100" s="251"/>
      <c r="AP100" s="32"/>
      <c r="AQ100" s="260">
        <f t="shared" si="37"/>
        <v>0</v>
      </c>
    </row>
    <row r="101" spans="1:43" hidden="1" outlineLevel="1" x14ac:dyDescent="0.3">
      <c r="A101" s="26" t="s">
        <v>574</v>
      </c>
      <c r="B101" s="26" t="s">
        <v>194</v>
      </c>
      <c r="C101" s="27">
        <v>1</v>
      </c>
      <c r="D101" s="129" t="s">
        <v>695</v>
      </c>
      <c r="E101" s="300" t="s">
        <v>363</v>
      </c>
      <c r="F101" s="245"/>
      <c r="G101" s="245"/>
      <c r="H101" s="245"/>
      <c r="I101" s="245"/>
      <c r="J101" s="245"/>
      <c r="K101" s="245"/>
      <c r="L101" s="27"/>
      <c r="M101" s="27"/>
      <c r="N101" s="27"/>
      <c r="O101" s="245"/>
      <c r="P101" s="315">
        <v>1</v>
      </c>
      <c r="Q101" s="301">
        <v>1</v>
      </c>
      <c r="R101" s="275">
        <f xml:space="preserve"> 10^(LOG(Q101/P101)/LOG(Q$6/P$6)-1)</f>
        <v>0.1</v>
      </c>
      <c r="S101" s="251">
        <f ca="1">P101*(10*R101)^LOG(wing_area/ref_wing_area)</f>
        <v>1</v>
      </c>
      <c r="T101" s="396">
        <v>0.1</v>
      </c>
      <c r="U101" s="251">
        <f ca="1">S101*(10*T101)^LOG(Q_prototype)</f>
        <v>1</v>
      </c>
      <c r="V101" s="26"/>
      <c r="W101" s="26" t="s">
        <v>704</v>
      </c>
      <c r="X101" s="26"/>
      <c r="Y101" s="413"/>
      <c r="Z101" s="415">
        <v>1</v>
      </c>
      <c r="AA101" s="413"/>
      <c r="AB101" s="413"/>
      <c r="AC101" s="413"/>
      <c r="AD101" s="413"/>
      <c r="AE101" s="413"/>
      <c r="AF101" s="413"/>
      <c r="AG101" s="413"/>
      <c r="AH101" s="413"/>
      <c r="AI101" s="413"/>
      <c r="AJ101" s="413"/>
      <c r="AK101" s="413"/>
      <c r="AL101" s="413"/>
      <c r="AM101" s="193"/>
      <c r="AN101" s="408">
        <f t="shared" si="36"/>
        <v>1</v>
      </c>
      <c r="AO101" s="251">
        <f ca="1">AN101*U101</f>
        <v>1</v>
      </c>
      <c r="AP101" s="251">
        <f ca="1">AO101*average_wage*(1+employer_contributions)</f>
        <v>60</v>
      </c>
      <c r="AQ101" s="260">
        <f t="shared" ca="1" si="37"/>
        <v>59</v>
      </c>
    </row>
    <row r="102" spans="1:43" hidden="1" outlineLevel="1" x14ac:dyDescent="0.3">
      <c r="A102" s="26" t="s">
        <v>574</v>
      </c>
      <c r="B102" s="26" t="s">
        <v>194</v>
      </c>
      <c r="C102" s="27">
        <v>1</v>
      </c>
      <c r="D102" s="129" t="s">
        <v>695</v>
      </c>
      <c r="E102" s="300" t="s">
        <v>364</v>
      </c>
      <c r="F102" s="245"/>
      <c r="G102" s="245"/>
      <c r="H102" s="245"/>
      <c r="I102" s="245"/>
      <c r="J102" s="245"/>
      <c r="K102" s="245"/>
      <c r="L102" s="27"/>
      <c r="M102" s="27"/>
      <c r="N102" s="27"/>
      <c r="O102" s="245"/>
      <c r="P102" s="315">
        <v>0.25</v>
      </c>
      <c r="Q102" s="301">
        <v>0.25</v>
      </c>
      <c r="R102" s="275">
        <f xml:space="preserve"> 10^(LOG(Q102/P102)/LOG(Q$6/P$6)-1)</f>
        <v>0.1</v>
      </c>
      <c r="S102" s="251">
        <f ca="1">P102*(10*R102)^LOG(wing_area/ref_wing_area)</f>
        <v>0.25</v>
      </c>
      <c r="T102" s="396">
        <v>0.1</v>
      </c>
      <c r="U102" s="251">
        <f ca="1">S102*(10*T102)^LOG(Q_prototype)</f>
        <v>0.25</v>
      </c>
      <c r="V102" s="26"/>
      <c r="W102" s="26" t="s">
        <v>704</v>
      </c>
      <c r="X102" s="26"/>
      <c r="Y102" s="413"/>
      <c r="Z102" s="413"/>
      <c r="AA102" s="413"/>
      <c r="AB102" s="413"/>
      <c r="AC102" s="415">
        <v>1</v>
      </c>
      <c r="AD102" s="413"/>
      <c r="AE102" s="413"/>
      <c r="AF102" s="413"/>
      <c r="AG102" s="413"/>
      <c r="AH102" s="413"/>
      <c r="AI102" s="413"/>
      <c r="AJ102" s="413"/>
      <c r="AK102" s="413"/>
      <c r="AL102" s="413"/>
      <c r="AM102" s="193"/>
      <c r="AN102" s="408">
        <f t="shared" si="36"/>
        <v>1</v>
      </c>
      <c r="AO102" s="251">
        <f ca="1">AN102*U102</f>
        <v>0.25</v>
      </c>
      <c r="AP102" s="251">
        <f ca="1">AO102*average_wage*(1+employer_contributions)</f>
        <v>15</v>
      </c>
      <c r="AQ102" s="260">
        <f t="shared" ca="1" si="37"/>
        <v>14.75</v>
      </c>
    </row>
    <row r="103" spans="1:43" hidden="1" outlineLevel="1" collapsed="1" x14ac:dyDescent="0.3">
      <c r="A103" s="26" t="s">
        <v>574</v>
      </c>
      <c r="B103" s="26" t="s">
        <v>194</v>
      </c>
      <c r="C103" s="27">
        <v>1</v>
      </c>
      <c r="D103" s="129" t="s">
        <v>695</v>
      </c>
      <c r="E103" s="302" t="s">
        <v>365</v>
      </c>
      <c r="F103" s="303"/>
      <c r="G103" s="303"/>
      <c r="H103" s="303"/>
      <c r="I103" s="303"/>
      <c r="J103" s="303"/>
      <c r="K103" s="303"/>
      <c r="L103" s="188"/>
      <c r="M103" s="188"/>
      <c r="N103" s="188"/>
      <c r="O103" s="303"/>
      <c r="P103" s="316">
        <v>0.5</v>
      </c>
      <c r="Q103" s="296">
        <f>P103</f>
        <v>0.5</v>
      </c>
      <c r="R103" s="270">
        <f xml:space="preserve"> 10^(LOG(Q103/P103)/LOG(Q$6/P$6)-1)</f>
        <v>0.1</v>
      </c>
      <c r="S103" s="399">
        <f ca="1">P103*(10*R103)^LOG(wing_area/ref_wing_area)</f>
        <v>0.5</v>
      </c>
      <c r="T103" s="397">
        <v>0.1</v>
      </c>
      <c r="U103" s="251">
        <f ca="1">S103*(10*T103)^LOG(Q_prototype)</f>
        <v>0.5</v>
      </c>
      <c r="V103" s="26"/>
      <c r="W103" s="26" t="s">
        <v>704</v>
      </c>
      <c r="X103" s="26"/>
      <c r="Y103" s="414"/>
      <c r="Z103" s="414"/>
      <c r="AA103" s="414"/>
      <c r="AB103" s="416">
        <v>0.5</v>
      </c>
      <c r="AC103" s="416">
        <v>0.5</v>
      </c>
      <c r="AD103" s="414"/>
      <c r="AE103" s="414"/>
      <c r="AF103" s="414"/>
      <c r="AG103" s="414"/>
      <c r="AH103" s="414"/>
      <c r="AI103" s="414"/>
      <c r="AJ103" s="414"/>
      <c r="AK103" s="414"/>
      <c r="AL103" s="414"/>
      <c r="AM103" s="193"/>
      <c r="AN103" s="409">
        <f t="shared" si="36"/>
        <v>1</v>
      </c>
      <c r="AO103" s="399">
        <f ca="1">AN103*U103</f>
        <v>0.5</v>
      </c>
      <c r="AP103" s="399">
        <f ca="1">AO103*average_wage*(1+employer_contributions)</f>
        <v>30</v>
      </c>
      <c r="AQ103" s="260">
        <f t="shared" ca="1" si="37"/>
        <v>29.5</v>
      </c>
    </row>
    <row r="104" spans="1:43" s="312" customFormat="1" collapsed="1" x14ac:dyDescent="0.3">
      <c r="B104" s="312" t="s">
        <v>194</v>
      </c>
      <c r="C104" s="27">
        <v>2</v>
      </c>
      <c r="D104" s="129" t="s">
        <v>695</v>
      </c>
      <c r="E104" s="306" t="s">
        <v>559</v>
      </c>
      <c r="F104" s="307"/>
      <c r="G104" s="307"/>
      <c r="H104" s="307"/>
      <c r="I104" s="307"/>
      <c r="J104" s="307"/>
      <c r="K104" s="307"/>
      <c r="L104" s="310"/>
      <c r="M104" s="308"/>
      <c r="N104" s="309"/>
      <c r="O104" s="308"/>
      <c r="P104" s="308">
        <f>SUM(P101:P103)</f>
        <v>1.75</v>
      </c>
      <c r="Q104" s="308">
        <f>SUM(Q101:Q103)</f>
        <v>1.75</v>
      </c>
      <c r="R104" s="235">
        <f xml:space="preserve"> 10^(LOG(Q104/P104)/LOG(Q$6/P$6)-1)</f>
        <v>0.1</v>
      </c>
      <c r="S104" s="308">
        <f ca="1">SUM(S101:S103)</f>
        <v>1.75</v>
      </c>
      <c r="T104" s="235">
        <f ca="1">IFERROR(10^(LOG(U104/S104)/LOG(Q_prototype)-1),0)</f>
        <v>0.1</v>
      </c>
      <c r="U104" s="308">
        <f ca="1">SUM(U101:U103)</f>
        <v>1.75</v>
      </c>
      <c r="V104" s="311"/>
      <c r="W104" s="260" t="s">
        <v>690</v>
      </c>
      <c r="X104" s="311"/>
      <c r="Y104" s="310">
        <f t="shared" ref="Y104:AL104" ca="1" si="46">SUMPRODUCT($U101:$U103,Y101:Y103)</f>
        <v>0</v>
      </c>
      <c r="Z104" s="310">
        <f t="shared" ca="1" si="46"/>
        <v>1</v>
      </c>
      <c r="AA104" s="310">
        <f t="shared" ca="1" si="46"/>
        <v>0</v>
      </c>
      <c r="AB104" s="310">
        <f t="shared" ca="1" si="46"/>
        <v>0.25</v>
      </c>
      <c r="AC104" s="310">
        <f t="shared" ca="1" si="46"/>
        <v>0.5</v>
      </c>
      <c r="AD104" s="310">
        <f t="shared" ca="1" si="46"/>
        <v>0</v>
      </c>
      <c r="AE104" s="310">
        <f t="shared" ca="1" si="46"/>
        <v>0</v>
      </c>
      <c r="AF104" s="310">
        <f t="shared" ca="1" si="46"/>
        <v>0</v>
      </c>
      <c r="AG104" s="310">
        <f t="shared" ca="1" si="46"/>
        <v>0</v>
      </c>
      <c r="AH104" s="310">
        <f t="shared" ca="1" si="46"/>
        <v>0</v>
      </c>
      <c r="AI104" s="310">
        <f t="shared" ca="1" si="46"/>
        <v>0</v>
      </c>
      <c r="AJ104" s="310">
        <f t="shared" ca="1" si="46"/>
        <v>0</v>
      </c>
      <c r="AK104" s="310">
        <f t="shared" ca="1" si="46"/>
        <v>0</v>
      </c>
      <c r="AL104" s="310">
        <f t="shared" ca="1" si="46"/>
        <v>0</v>
      </c>
      <c r="AM104" s="311"/>
      <c r="AN104" s="308">
        <f t="shared" ca="1" si="36"/>
        <v>1.75</v>
      </c>
      <c r="AO104" s="308">
        <f ca="1">SUM(AO101:AO103)</f>
        <v>1.75</v>
      </c>
      <c r="AP104" s="308">
        <f ca="1">SUM(AP101:AP103)</f>
        <v>105</v>
      </c>
      <c r="AQ104" s="458">
        <f ca="1">AP104-U104*(1+employer_contributions)*average_wage</f>
        <v>0</v>
      </c>
    </row>
    <row r="105" spans="1:43" hidden="1" outlineLevel="1" x14ac:dyDescent="0.3">
      <c r="C105"/>
      <c r="D105" s="129" t="s">
        <v>695</v>
      </c>
      <c r="E105" s="128"/>
      <c r="L105" s="27"/>
      <c r="M105" s="27"/>
      <c r="N105" s="27"/>
      <c r="P105" s="311"/>
      <c r="Q105" s="246"/>
      <c r="R105" s="192"/>
      <c r="S105" s="311"/>
      <c r="T105" s="192"/>
      <c r="U105" s="311"/>
      <c r="V105" s="26"/>
      <c r="X105" s="26"/>
      <c r="Y105" s="26"/>
      <c r="AP105" s="311"/>
      <c r="AQ105" s="260">
        <f t="shared" si="37"/>
        <v>0</v>
      </c>
    </row>
    <row r="106" spans="1:43" hidden="1" outlineLevel="1" x14ac:dyDescent="0.3">
      <c r="A106" s="26" t="s">
        <v>574</v>
      </c>
      <c r="B106" s="26" t="s">
        <v>194</v>
      </c>
      <c r="C106" s="27">
        <v>1</v>
      </c>
      <c r="D106" s="129" t="s">
        <v>695</v>
      </c>
      <c r="E106" s="300" t="s">
        <v>560</v>
      </c>
      <c r="F106" s="245"/>
      <c r="G106" s="245"/>
      <c r="H106" s="245"/>
      <c r="I106" s="245"/>
      <c r="J106" s="245"/>
      <c r="K106" s="245"/>
      <c r="L106" s="27"/>
      <c r="M106" s="27"/>
      <c r="N106" s="27"/>
      <c r="O106" s="245"/>
      <c r="P106" s="315">
        <v>6</v>
      </c>
      <c r="Q106" s="301">
        <v>6</v>
      </c>
      <c r="R106" s="275">
        <f xml:space="preserve"> 10^(LOG(Q106/P106)/LOG(Q$6/P$6)-1)</f>
        <v>0.1</v>
      </c>
      <c r="S106" s="251">
        <f ca="1">P106*(10*R106)^LOG(wing_area/ref_wing_area)</f>
        <v>6</v>
      </c>
      <c r="T106" s="396">
        <v>0.1</v>
      </c>
      <c r="U106" s="251">
        <f ca="1">S106*(10*T106)^LOG(Q_prototype)</f>
        <v>6</v>
      </c>
      <c r="V106" s="26"/>
      <c r="W106" s="26" t="s">
        <v>704</v>
      </c>
      <c r="X106" s="26"/>
      <c r="Y106" s="413"/>
      <c r="Z106" s="413"/>
      <c r="AA106" s="415">
        <f>1/6</f>
        <v>0.16666666666666666</v>
      </c>
      <c r="AB106" s="415">
        <f>1/6</f>
        <v>0.16666666666666666</v>
      </c>
      <c r="AC106" s="415">
        <f>1/6</f>
        <v>0.16666666666666666</v>
      </c>
      <c r="AD106" s="415">
        <v>0.5</v>
      </c>
      <c r="AE106" s="413"/>
      <c r="AF106" s="413"/>
      <c r="AG106" s="413"/>
      <c r="AH106" s="413"/>
      <c r="AI106" s="413"/>
      <c r="AJ106" s="413"/>
      <c r="AK106" s="413"/>
      <c r="AL106" s="413"/>
      <c r="AM106" s="193"/>
      <c r="AN106" s="408">
        <f t="shared" si="36"/>
        <v>1</v>
      </c>
      <c r="AO106" s="251">
        <f ca="1">AN106*U106</f>
        <v>6</v>
      </c>
      <c r="AP106" s="251">
        <f ca="1">AO106*average_wage*(1+employer_contributions)</f>
        <v>360</v>
      </c>
      <c r="AQ106" s="260">
        <f t="shared" ca="1" si="37"/>
        <v>354</v>
      </c>
    </row>
    <row r="107" spans="1:43" hidden="1" outlineLevel="1" x14ac:dyDescent="0.3">
      <c r="A107" s="26" t="s">
        <v>574</v>
      </c>
      <c r="B107" s="26" t="s">
        <v>194</v>
      </c>
      <c r="C107" s="27">
        <v>1</v>
      </c>
      <c r="D107" s="129" t="s">
        <v>695</v>
      </c>
      <c r="E107" s="300" t="s">
        <v>561</v>
      </c>
      <c r="F107" s="245"/>
      <c r="G107" s="245"/>
      <c r="H107" s="245"/>
      <c r="I107" s="245"/>
      <c r="J107" s="245"/>
      <c r="K107" s="245"/>
      <c r="L107" s="27"/>
      <c r="M107" s="27"/>
      <c r="N107" s="27"/>
      <c r="O107" s="245"/>
      <c r="P107" s="315">
        <v>2.5</v>
      </c>
      <c r="Q107" s="301">
        <v>2.5</v>
      </c>
      <c r="R107" s="275">
        <f xml:space="preserve"> 10^(LOG(Q107/P107)/LOG(Q$6/P$6)-1)</f>
        <v>0.1</v>
      </c>
      <c r="S107" s="251">
        <f ca="1">P107*(10*R107)^LOG(wing_area/ref_wing_area)</f>
        <v>2.5</v>
      </c>
      <c r="T107" s="396">
        <v>0.1</v>
      </c>
      <c r="U107" s="251">
        <f ca="1">S107*(10*T107)^LOG(Q_prototype)</f>
        <v>2.5</v>
      </c>
      <c r="V107" s="26"/>
      <c r="W107" s="26" t="s">
        <v>704</v>
      </c>
      <c r="X107" s="26"/>
      <c r="Y107" s="413"/>
      <c r="Z107" s="413"/>
      <c r="AA107" s="413"/>
      <c r="AB107" s="413"/>
      <c r="AC107" s="413"/>
      <c r="AD107" s="415">
        <v>1</v>
      </c>
      <c r="AE107" s="413"/>
      <c r="AF107" s="413"/>
      <c r="AG107" s="413"/>
      <c r="AH107" s="413"/>
      <c r="AI107" s="413"/>
      <c r="AJ107" s="413"/>
      <c r="AK107" s="413"/>
      <c r="AL107" s="413"/>
      <c r="AM107" s="193"/>
      <c r="AN107" s="408">
        <f t="shared" si="36"/>
        <v>1</v>
      </c>
      <c r="AO107" s="251">
        <f ca="1">AN107*U107</f>
        <v>2.5</v>
      </c>
      <c r="AP107" s="251">
        <f ca="1">AO107*average_wage*(1+employer_contributions)</f>
        <v>150</v>
      </c>
      <c r="AQ107" s="260">
        <f t="shared" ca="1" si="37"/>
        <v>147.5</v>
      </c>
    </row>
    <row r="108" spans="1:43" hidden="1" outlineLevel="1" x14ac:dyDescent="0.3">
      <c r="A108" s="26" t="s">
        <v>574</v>
      </c>
      <c r="B108" s="26" t="s">
        <v>194</v>
      </c>
      <c r="C108" s="27">
        <v>1</v>
      </c>
      <c r="D108" s="129" t="s">
        <v>695</v>
      </c>
      <c r="E108" s="302" t="s">
        <v>562</v>
      </c>
      <c r="F108" s="141"/>
      <c r="G108" s="141"/>
      <c r="H108" s="141"/>
      <c r="I108" s="141"/>
      <c r="J108" s="141"/>
      <c r="K108" s="141"/>
      <c r="L108" s="188"/>
      <c r="M108" s="188"/>
      <c r="N108" s="188"/>
      <c r="O108" s="141"/>
      <c r="P108" s="316">
        <v>1</v>
      </c>
      <c r="Q108" s="296">
        <f>P108</f>
        <v>1</v>
      </c>
      <c r="R108" s="270">
        <f xml:space="preserve"> 10^(LOG(Q108/P108)/LOG(Q$6/P$6)-1)</f>
        <v>0.1</v>
      </c>
      <c r="S108" s="399">
        <f ca="1">P108*(10*R108)^LOG(wing_area/ref_wing_area)</f>
        <v>1</v>
      </c>
      <c r="T108" s="397">
        <v>0.1</v>
      </c>
      <c r="U108" s="399">
        <f ca="1">S108*(10*T108)^LOG(Q_prototype)</f>
        <v>1</v>
      </c>
      <c r="V108" s="26"/>
      <c r="W108" s="26" t="s">
        <v>704</v>
      </c>
      <c r="X108" s="26"/>
      <c r="Y108" s="414"/>
      <c r="Z108" s="414"/>
      <c r="AA108" s="414"/>
      <c r="AB108" s="414"/>
      <c r="AC108" s="414"/>
      <c r="AD108" s="416">
        <v>1</v>
      </c>
      <c r="AE108" s="414"/>
      <c r="AF108" s="414"/>
      <c r="AG108" s="414"/>
      <c r="AH108" s="414"/>
      <c r="AI108" s="414"/>
      <c r="AJ108" s="414"/>
      <c r="AK108" s="414"/>
      <c r="AL108" s="414"/>
      <c r="AM108" s="193"/>
      <c r="AN108" s="409">
        <f t="shared" si="36"/>
        <v>1</v>
      </c>
      <c r="AO108" s="399">
        <f ca="1">AN108*U108</f>
        <v>1</v>
      </c>
      <c r="AP108" s="399">
        <f ca="1">AO108*average_wage*(1+employer_contributions)</f>
        <v>60</v>
      </c>
      <c r="AQ108" s="260">
        <f t="shared" ca="1" si="37"/>
        <v>59</v>
      </c>
    </row>
    <row r="109" spans="1:43" s="312" customFormat="1" collapsed="1" x14ac:dyDescent="0.3">
      <c r="B109" s="312" t="s">
        <v>194</v>
      </c>
      <c r="C109" s="27">
        <v>2</v>
      </c>
      <c r="D109" s="129" t="s">
        <v>695</v>
      </c>
      <c r="E109" s="306" t="s">
        <v>563</v>
      </c>
      <c r="F109" s="307"/>
      <c r="G109" s="307"/>
      <c r="H109" s="307"/>
      <c r="I109" s="307"/>
      <c r="J109" s="307"/>
      <c r="K109" s="307"/>
      <c r="L109" s="310"/>
      <c r="M109" s="308"/>
      <c r="N109" s="309"/>
      <c r="O109" s="308"/>
      <c r="P109" s="308">
        <f>SUM(P106:P108)</f>
        <v>9.5</v>
      </c>
      <c r="Q109" s="308">
        <f>SUM(Q106:Q108)</f>
        <v>9.5</v>
      </c>
      <c r="R109" s="235">
        <f xml:space="preserve"> 10^(LOG(Q109/P109)/LOG(Q$6/P$6)-1)</f>
        <v>0.1</v>
      </c>
      <c r="S109" s="308">
        <f ca="1">SUM(S106:S108)</f>
        <v>9.5</v>
      </c>
      <c r="T109" s="235">
        <f ca="1">IFERROR(10^(LOG(U109/S109)/LOG(Q_prototype)-1),0)</f>
        <v>0.1</v>
      </c>
      <c r="U109" s="308">
        <f ca="1">SUM(U106:U108)</f>
        <v>9.5</v>
      </c>
      <c r="V109" s="311"/>
      <c r="W109" s="260" t="s">
        <v>690</v>
      </c>
      <c r="X109" s="311"/>
      <c r="Y109" s="310">
        <f t="shared" ref="Y109:AL109" ca="1" si="47">SUMPRODUCT($U106:$U108,Y106:Y108)</f>
        <v>0</v>
      </c>
      <c r="Z109" s="310">
        <f t="shared" ca="1" si="47"/>
        <v>0</v>
      </c>
      <c r="AA109" s="310">
        <f t="shared" ca="1" si="47"/>
        <v>1</v>
      </c>
      <c r="AB109" s="310">
        <f t="shared" ca="1" si="47"/>
        <v>1</v>
      </c>
      <c r="AC109" s="310">
        <f t="shared" ca="1" si="47"/>
        <v>1</v>
      </c>
      <c r="AD109" s="310">
        <f t="shared" ca="1" si="47"/>
        <v>6.5</v>
      </c>
      <c r="AE109" s="310">
        <f t="shared" ca="1" si="47"/>
        <v>0</v>
      </c>
      <c r="AF109" s="310">
        <f t="shared" ca="1" si="47"/>
        <v>0</v>
      </c>
      <c r="AG109" s="310">
        <f t="shared" ca="1" si="47"/>
        <v>0</v>
      </c>
      <c r="AH109" s="310">
        <f t="shared" ca="1" si="47"/>
        <v>0</v>
      </c>
      <c r="AI109" s="310">
        <f t="shared" ca="1" si="47"/>
        <v>0</v>
      </c>
      <c r="AJ109" s="310">
        <f t="shared" ca="1" si="47"/>
        <v>0</v>
      </c>
      <c r="AK109" s="310">
        <f t="shared" ca="1" si="47"/>
        <v>0</v>
      </c>
      <c r="AL109" s="310">
        <f t="shared" ca="1" si="47"/>
        <v>0</v>
      </c>
      <c r="AM109" s="311"/>
      <c r="AN109" s="308">
        <f t="shared" ca="1" si="36"/>
        <v>9.5</v>
      </c>
      <c r="AO109" s="308">
        <f ca="1">SUM(AO106:AO108)</f>
        <v>9.5</v>
      </c>
      <c r="AP109" s="308">
        <f ca="1">SUM(AP106:AP108)</f>
        <v>570</v>
      </c>
      <c r="AQ109" s="458">
        <f ca="1">AP109-U109*(1+employer_contributions)*average_wage</f>
        <v>0</v>
      </c>
    </row>
    <row r="110" spans="1:43" hidden="1" outlineLevel="1" x14ac:dyDescent="0.3">
      <c r="C110"/>
      <c r="D110" s="129" t="s">
        <v>695</v>
      </c>
      <c r="E110" s="128"/>
      <c r="L110" s="27"/>
      <c r="M110" s="27"/>
      <c r="N110" s="27"/>
      <c r="P110" s="311"/>
      <c r="Q110" s="246"/>
      <c r="R110" s="266"/>
      <c r="S110" s="311"/>
      <c r="T110" s="266"/>
      <c r="U110" s="311"/>
      <c r="V110" s="26"/>
      <c r="X110" s="26"/>
      <c r="Y110" s="26"/>
      <c r="AP110" s="311"/>
      <c r="AQ110" s="260">
        <f t="shared" si="37"/>
        <v>0</v>
      </c>
    </row>
    <row r="111" spans="1:43" hidden="1" outlineLevel="1" x14ac:dyDescent="0.3">
      <c r="A111" s="26" t="s">
        <v>574</v>
      </c>
      <c r="B111" s="26" t="s">
        <v>194</v>
      </c>
      <c r="C111" s="27">
        <v>1</v>
      </c>
      <c r="D111" s="129" t="s">
        <v>695</v>
      </c>
      <c r="E111" s="300" t="s">
        <v>366</v>
      </c>
      <c r="F111" s="245"/>
      <c r="G111" s="245"/>
      <c r="H111" s="245"/>
      <c r="I111" s="245"/>
      <c r="J111" s="245"/>
      <c r="K111" s="245"/>
      <c r="L111" s="27"/>
      <c r="M111" s="27"/>
      <c r="N111" s="27"/>
      <c r="O111" s="245"/>
      <c r="P111" s="315">
        <v>2.5</v>
      </c>
      <c r="Q111" s="301">
        <v>2.5</v>
      </c>
      <c r="R111" s="275">
        <f xml:space="preserve"> 10^(LOG(Q111/P111)/LOG(Q$6/P$6)-1)</f>
        <v>0.1</v>
      </c>
      <c r="S111" s="251">
        <f ca="1">P111*(10*R111)^LOG(wing_area/ref_wing_area)</f>
        <v>2.5</v>
      </c>
      <c r="T111" s="396">
        <v>0.1</v>
      </c>
      <c r="U111" s="251">
        <f ca="1">S111*(10*T111)^LOG(Q_prototype)</f>
        <v>2.5</v>
      </c>
      <c r="V111" s="26"/>
      <c r="W111" s="26" t="s">
        <v>704</v>
      </c>
      <c r="X111" s="26"/>
      <c r="Y111" s="413"/>
      <c r="Z111" s="413"/>
      <c r="AA111" s="413"/>
      <c r="AB111" s="413"/>
      <c r="AC111" s="413"/>
      <c r="AD111" s="413"/>
      <c r="AE111" s="415">
        <v>1</v>
      </c>
      <c r="AF111" s="413"/>
      <c r="AG111" s="413"/>
      <c r="AH111" s="413"/>
      <c r="AI111" s="413"/>
      <c r="AJ111" s="413"/>
      <c r="AK111" s="413"/>
      <c r="AL111" s="413"/>
      <c r="AM111" s="193"/>
      <c r="AN111" s="408">
        <f t="shared" si="36"/>
        <v>1</v>
      </c>
      <c r="AO111" s="251">
        <f ca="1">AN111*U111</f>
        <v>2.5</v>
      </c>
      <c r="AP111" s="251">
        <f ca="1">AO111*average_wage*(1+employer_contributions)</f>
        <v>150</v>
      </c>
      <c r="AQ111" s="260">
        <f t="shared" ca="1" si="37"/>
        <v>147.5</v>
      </c>
    </row>
    <row r="112" spans="1:43" hidden="1" outlineLevel="1" x14ac:dyDescent="0.3">
      <c r="A112" s="26" t="s">
        <v>574</v>
      </c>
      <c r="B112" s="26" t="s">
        <v>194</v>
      </c>
      <c r="C112" s="27">
        <v>1</v>
      </c>
      <c r="D112" s="129" t="s">
        <v>695</v>
      </c>
      <c r="E112" s="286" t="s">
        <v>367</v>
      </c>
      <c r="F112" s="128"/>
      <c r="G112" s="128"/>
      <c r="H112" s="128"/>
      <c r="I112" s="128"/>
      <c r="J112" s="128"/>
      <c r="K112" s="128"/>
      <c r="L112" s="27"/>
      <c r="M112" s="27"/>
      <c r="N112" s="27"/>
      <c r="O112" s="128"/>
      <c r="P112" s="317">
        <v>2</v>
      </c>
      <c r="Q112" s="190">
        <f>P112</f>
        <v>2</v>
      </c>
      <c r="R112" s="298">
        <f xml:space="preserve"> 10^(LOG(Q112/P112)/LOG(Q$6/P$6)-1)</f>
        <v>0.1</v>
      </c>
      <c r="S112" s="251">
        <f ca="1">P112*(10*R112)^LOG(wing_area/ref_wing_area)</f>
        <v>2</v>
      </c>
      <c r="T112" s="396">
        <v>0.1</v>
      </c>
      <c r="U112" s="251">
        <f ca="1">S112*(10*T112)^LOG(Q_prototype)</f>
        <v>2</v>
      </c>
      <c r="V112" s="26"/>
      <c r="W112" s="26" t="s">
        <v>704</v>
      </c>
      <c r="X112" s="26"/>
      <c r="Y112" s="413"/>
      <c r="Z112" s="413"/>
      <c r="AA112" s="413"/>
      <c r="AB112" s="413"/>
      <c r="AC112" s="413"/>
      <c r="AD112" s="413"/>
      <c r="AE112" s="415">
        <v>1</v>
      </c>
      <c r="AF112" s="413"/>
      <c r="AG112" s="413"/>
      <c r="AH112" s="413"/>
      <c r="AI112" s="413"/>
      <c r="AJ112" s="413"/>
      <c r="AK112" s="413"/>
      <c r="AL112" s="413"/>
      <c r="AM112" s="193"/>
      <c r="AN112" s="408">
        <f t="shared" si="36"/>
        <v>1</v>
      </c>
      <c r="AO112" s="251">
        <f ca="1">AN112*U112</f>
        <v>2</v>
      </c>
      <c r="AP112" s="251">
        <f ca="1">AO112*average_wage*(1+employer_contributions)</f>
        <v>120</v>
      </c>
      <c r="AQ112" s="260">
        <f t="shared" ca="1" si="37"/>
        <v>118</v>
      </c>
    </row>
    <row r="113" spans="1:43" hidden="1" outlineLevel="1" x14ac:dyDescent="0.3">
      <c r="A113" s="26" t="s">
        <v>574</v>
      </c>
      <c r="B113" s="26" t="s">
        <v>194</v>
      </c>
      <c r="C113" s="27">
        <v>1</v>
      </c>
      <c r="D113" s="129" t="s">
        <v>695</v>
      </c>
      <c r="E113" s="304" t="s">
        <v>368</v>
      </c>
      <c r="F113" s="141"/>
      <c r="G113" s="141"/>
      <c r="H113" s="141"/>
      <c r="I113" s="141"/>
      <c r="J113" s="141"/>
      <c r="K113" s="141"/>
      <c r="L113" s="188"/>
      <c r="M113" s="188"/>
      <c r="N113" s="188"/>
      <c r="O113" s="141"/>
      <c r="P113" s="316">
        <v>0.5</v>
      </c>
      <c r="Q113" s="296">
        <f>P113</f>
        <v>0.5</v>
      </c>
      <c r="R113" s="269">
        <f xml:space="preserve"> 10^(LOG(Q113/P113)/LOG(Q$6/P$6)-1)</f>
        <v>0.1</v>
      </c>
      <c r="S113" s="399">
        <f ca="1">P113*(10*R113)^LOG(wing_area/ref_wing_area)</f>
        <v>0.5</v>
      </c>
      <c r="T113" s="397">
        <v>0.1</v>
      </c>
      <c r="U113" s="399">
        <f ca="1">S113*(10*T113)^LOG(Q_prototype)</f>
        <v>0.5</v>
      </c>
      <c r="V113" s="26"/>
      <c r="W113" s="26" t="s">
        <v>704</v>
      </c>
      <c r="X113" s="26"/>
      <c r="Y113" s="414"/>
      <c r="Z113" s="414"/>
      <c r="AA113" s="414"/>
      <c r="AB113" s="414"/>
      <c r="AC113" s="414"/>
      <c r="AD113" s="414"/>
      <c r="AE113" s="416">
        <v>1</v>
      </c>
      <c r="AF113" s="414"/>
      <c r="AG113" s="414"/>
      <c r="AH113" s="414"/>
      <c r="AI113" s="414"/>
      <c r="AJ113" s="414"/>
      <c r="AK113" s="414"/>
      <c r="AL113" s="414"/>
      <c r="AM113" s="193"/>
      <c r="AN113" s="409">
        <f t="shared" si="36"/>
        <v>1</v>
      </c>
      <c r="AO113" s="399">
        <f ca="1">AN113*U113</f>
        <v>0.5</v>
      </c>
      <c r="AP113" s="399">
        <f ca="1">AO113*average_wage*(1+employer_contributions)</f>
        <v>30</v>
      </c>
      <c r="AQ113" s="260">
        <f t="shared" ca="1" si="37"/>
        <v>29.5</v>
      </c>
    </row>
    <row r="114" spans="1:43" s="312" customFormat="1" collapsed="1" x14ac:dyDescent="0.3">
      <c r="B114" s="312" t="s">
        <v>194</v>
      </c>
      <c r="C114" s="27">
        <v>2</v>
      </c>
      <c r="D114" s="129" t="s">
        <v>695</v>
      </c>
      <c r="E114" s="306" t="s">
        <v>298</v>
      </c>
      <c r="F114" s="307"/>
      <c r="G114" s="307"/>
      <c r="H114" s="307"/>
      <c r="I114" s="307"/>
      <c r="J114" s="307"/>
      <c r="K114" s="307"/>
      <c r="L114" s="310"/>
      <c r="M114" s="308"/>
      <c r="N114" s="309"/>
      <c r="O114" s="308"/>
      <c r="P114" s="308">
        <f>SUM(P111:P113)</f>
        <v>5</v>
      </c>
      <c r="Q114" s="308">
        <f>SUM(Q111:Q113)</f>
        <v>5</v>
      </c>
      <c r="R114" s="235">
        <f xml:space="preserve"> 10^(LOG(Q114/P114)/LOG(Q$6/P$6)-1)</f>
        <v>0.1</v>
      </c>
      <c r="S114" s="308">
        <f ca="1">SUM(S111:S113)</f>
        <v>5</v>
      </c>
      <c r="T114" s="235">
        <f ca="1">IFERROR(10^(LOG(U114/S114)/LOG(Q_prototype)-1),0)</f>
        <v>0.1</v>
      </c>
      <c r="U114" s="308">
        <f ca="1">SUM(U111:U113)</f>
        <v>5</v>
      </c>
      <c r="V114" s="311"/>
      <c r="W114" s="260" t="s">
        <v>690</v>
      </c>
      <c r="X114" s="311"/>
      <c r="Y114" s="310">
        <f t="shared" ref="Y114:AL114" ca="1" si="48">SUMPRODUCT($U111:$U113,Y111:Y113)</f>
        <v>0</v>
      </c>
      <c r="Z114" s="310">
        <f t="shared" ca="1" si="48"/>
        <v>0</v>
      </c>
      <c r="AA114" s="310">
        <f t="shared" ca="1" si="48"/>
        <v>0</v>
      </c>
      <c r="AB114" s="310">
        <f t="shared" ca="1" si="48"/>
        <v>0</v>
      </c>
      <c r="AC114" s="310">
        <f t="shared" ca="1" si="48"/>
        <v>0</v>
      </c>
      <c r="AD114" s="310">
        <f t="shared" ca="1" si="48"/>
        <v>0</v>
      </c>
      <c r="AE114" s="310">
        <f t="shared" ca="1" si="48"/>
        <v>5</v>
      </c>
      <c r="AF114" s="310">
        <f t="shared" ca="1" si="48"/>
        <v>0</v>
      </c>
      <c r="AG114" s="310">
        <f t="shared" ca="1" si="48"/>
        <v>0</v>
      </c>
      <c r="AH114" s="310">
        <f t="shared" ca="1" si="48"/>
        <v>0</v>
      </c>
      <c r="AI114" s="310">
        <f t="shared" ca="1" si="48"/>
        <v>0</v>
      </c>
      <c r="AJ114" s="310">
        <f t="shared" ca="1" si="48"/>
        <v>0</v>
      </c>
      <c r="AK114" s="310">
        <f t="shared" ca="1" si="48"/>
        <v>0</v>
      </c>
      <c r="AL114" s="310">
        <f t="shared" ca="1" si="48"/>
        <v>0</v>
      </c>
      <c r="AM114" s="311"/>
      <c r="AN114" s="308">
        <f t="shared" ca="1" si="36"/>
        <v>5</v>
      </c>
      <c r="AO114" s="308">
        <f ca="1">SUM(AO111:AO113)</f>
        <v>5</v>
      </c>
      <c r="AP114" s="308">
        <f ca="1">SUM(AP111:AP113)</f>
        <v>300</v>
      </c>
      <c r="AQ114" s="458">
        <f ca="1">AP114-U114*(1+employer_contributions)*average_wage</f>
        <v>0</v>
      </c>
    </row>
    <row r="115" spans="1:43" hidden="1" outlineLevel="1" x14ac:dyDescent="0.3">
      <c r="C115"/>
      <c r="D115" s="129" t="s">
        <v>695</v>
      </c>
      <c r="E115" s="128"/>
      <c r="L115" s="27"/>
      <c r="M115" s="27"/>
      <c r="N115" s="27"/>
      <c r="P115" s="311"/>
      <c r="Q115" s="246"/>
      <c r="R115" s="192"/>
      <c r="S115" s="311"/>
      <c r="T115" s="192"/>
      <c r="U115" s="311"/>
      <c r="V115" s="26"/>
      <c r="X115" s="26"/>
      <c r="Y115" s="26"/>
      <c r="AP115" s="311"/>
      <c r="AQ115" s="260">
        <f t="shared" si="37"/>
        <v>0</v>
      </c>
    </row>
    <row r="116" spans="1:43" hidden="1" outlineLevel="1" x14ac:dyDescent="0.3">
      <c r="A116" s="26" t="s">
        <v>574</v>
      </c>
      <c r="B116" s="26" t="s">
        <v>194</v>
      </c>
      <c r="C116" s="27">
        <v>1</v>
      </c>
      <c r="D116" s="129" t="s">
        <v>695</v>
      </c>
      <c r="E116" s="286" t="s">
        <v>370</v>
      </c>
      <c r="F116" s="128"/>
      <c r="G116" s="128"/>
      <c r="H116" s="128"/>
      <c r="I116" s="128"/>
      <c r="J116" s="128"/>
      <c r="K116" s="128"/>
      <c r="L116" s="27"/>
      <c r="M116" s="27"/>
      <c r="N116" s="27"/>
      <c r="O116" s="128"/>
      <c r="P116" s="317">
        <v>2</v>
      </c>
      <c r="Q116" s="190">
        <f t="shared" ref="Q116:Q121" si="49">P116</f>
        <v>2</v>
      </c>
      <c r="R116" s="298">
        <f t="shared" ref="R116:R122" si="50" xml:space="preserve"> 10^(LOG(Q116/P116)/LOG(Q$6/P$6)-1)</f>
        <v>0.1</v>
      </c>
      <c r="S116" s="251">
        <f t="shared" ref="S116:S121" ca="1" si="51">P116*(10*R116)^LOG(wing_area/ref_wing_area)</f>
        <v>2</v>
      </c>
      <c r="T116" s="396">
        <v>0.1</v>
      </c>
      <c r="U116" s="251">
        <f t="shared" ref="U116:U121" ca="1" si="52">S116*(10*T116)^LOG(Q_prototype)</f>
        <v>2</v>
      </c>
      <c r="V116" s="26"/>
      <c r="W116" s="26" t="s">
        <v>704</v>
      </c>
      <c r="X116" s="26"/>
      <c r="Y116" s="413"/>
      <c r="Z116" s="413"/>
      <c r="AA116" s="413"/>
      <c r="AB116" s="413"/>
      <c r="AC116" s="413"/>
      <c r="AD116" s="413"/>
      <c r="AE116" s="413"/>
      <c r="AF116" s="415">
        <v>1</v>
      </c>
      <c r="AG116" s="413"/>
      <c r="AH116" s="413"/>
      <c r="AI116" s="413"/>
      <c r="AJ116" s="413"/>
      <c r="AK116" s="413"/>
      <c r="AL116" s="413"/>
      <c r="AM116" s="193"/>
      <c r="AN116" s="408">
        <f t="shared" si="36"/>
        <v>1</v>
      </c>
      <c r="AO116" s="251">
        <f t="shared" ref="AO116:AO121" ca="1" si="53">AN116*U116</f>
        <v>2</v>
      </c>
      <c r="AP116" s="251">
        <f t="shared" ref="AP116:AP121" ca="1" si="54">AO116*average_wage*(1+employer_contributions)</f>
        <v>120</v>
      </c>
      <c r="AQ116" s="260">
        <f t="shared" ca="1" si="37"/>
        <v>118</v>
      </c>
    </row>
    <row r="117" spans="1:43" hidden="1" outlineLevel="1" x14ac:dyDescent="0.3">
      <c r="A117" s="26" t="s">
        <v>574</v>
      </c>
      <c r="B117" s="26" t="s">
        <v>194</v>
      </c>
      <c r="C117" s="27">
        <v>1</v>
      </c>
      <c r="D117" s="129" t="s">
        <v>695</v>
      </c>
      <c r="E117" s="286" t="s">
        <v>371</v>
      </c>
      <c r="F117" s="128"/>
      <c r="G117" s="128"/>
      <c r="H117" s="128"/>
      <c r="I117" s="128"/>
      <c r="J117" s="128"/>
      <c r="K117" s="128"/>
      <c r="L117" s="27"/>
      <c r="M117" s="27"/>
      <c r="N117" s="27"/>
      <c r="O117" s="128"/>
      <c r="P117" s="317">
        <v>0.5</v>
      </c>
      <c r="Q117" s="190">
        <f t="shared" si="49"/>
        <v>0.5</v>
      </c>
      <c r="R117" s="298">
        <f t="shared" si="50"/>
        <v>0.1</v>
      </c>
      <c r="S117" s="251">
        <f t="shared" ca="1" si="51"/>
        <v>0.5</v>
      </c>
      <c r="T117" s="396">
        <v>0.1</v>
      </c>
      <c r="U117" s="251">
        <f t="shared" ca="1" si="52"/>
        <v>0.5</v>
      </c>
      <c r="V117" s="26"/>
      <c r="W117" s="26" t="s">
        <v>704</v>
      </c>
      <c r="X117" s="26"/>
      <c r="Y117" s="413"/>
      <c r="Z117" s="413"/>
      <c r="AA117" s="413"/>
      <c r="AB117" s="413"/>
      <c r="AC117" s="413"/>
      <c r="AD117" s="413"/>
      <c r="AE117" s="413"/>
      <c r="AF117" s="413"/>
      <c r="AG117" s="415">
        <v>1</v>
      </c>
      <c r="AH117" s="413"/>
      <c r="AI117" s="413"/>
      <c r="AJ117" s="413"/>
      <c r="AK117" s="413"/>
      <c r="AL117" s="413"/>
      <c r="AM117" s="193"/>
      <c r="AN117" s="408">
        <f t="shared" si="36"/>
        <v>1</v>
      </c>
      <c r="AO117" s="251">
        <f t="shared" ca="1" si="53"/>
        <v>0.5</v>
      </c>
      <c r="AP117" s="251">
        <f t="shared" ca="1" si="54"/>
        <v>30</v>
      </c>
      <c r="AQ117" s="260">
        <f t="shared" ca="1" si="37"/>
        <v>29.5</v>
      </c>
    </row>
    <row r="118" spans="1:43" hidden="1" outlineLevel="1" x14ac:dyDescent="0.3">
      <c r="A118" s="26" t="s">
        <v>574</v>
      </c>
      <c r="B118" s="26" t="s">
        <v>194</v>
      </c>
      <c r="C118" s="27">
        <v>1</v>
      </c>
      <c r="D118" s="129" t="s">
        <v>695</v>
      </c>
      <c r="E118" s="286" t="s">
        <v>372</v>
      </c>
      <c r="F118" s="128"/>
      <c r="G118" s="128"/>
      <c r="H118" s="128"/>
      <c r="I118" s="128"/>
      <c r="J118" s="128"/>
      <c r="K118" s="128"/>
      <c r="L118" s="27"/>
      <c r="M118" s="27"/>
      <c r="N118" s="27"/>
      <c r="O118" s="128"/>
      <c r="P118" s="317">
        <v>1</v>
      </c>
      <c r="Q118" s="190">
        <f t="shared" si="49"/>
        <v>1</v>
      </c>
      <c r="R118" s="298">
        <f t="shared" si="50"/>
        <v>0.1</v>
      </c>
      <c r="S118" s="251">
        <f t="shared" ca="1" si="51"/>
        <v>1</v>
      </c>
      <c r="T118" s="396">
        <v>0.1</v>
      </c>
      <c r="U118" s="251">
        <f t="shared" ca="1" si="52"/>
        <v>1</v>
      </c>
      <c r="V118" s="26"/>
      <c r="W118" s="26" t="s">
        <v>704</v>
      </c>
      <c r="X118" s="26"/>
      <c r="Y118" s="413"/>
      <c r="Z118" s="413"/>
      <c r="AA118" s="413"/>
      <c r="AB118" s="413"/>
      <c r="AC118" s="413"/>
      <c r="AD118" s="413"/>
      <c r="AE118" s="413"/>
      <c r="AF118" s="415">
        <v>1</v>
      </c>
      <c r="AG118" s="413"/>
      <c r="AH118" s="413"/>
      <c r="AI118" s="413"/>
      <c r="AJ118" s="413"/>
      <c r="AK118" s="413"/>
      <c r="AL118" s="413"/>
      <c r="AM118" s="193"/>
      <c r="AN118" s="408">
        <f t="shared" si="36"/>
        <v>1</v>
      </c>
      <c r="AO118" s="251">
        <f t="shared" ca="1" si="53"/>
        <v>1</v>
      </c>
      <c r="AP118" s="251">
        <f t="shared" ca="1" si="54"/>
        <v>60</v>
      </c>
      <c r="AQ118" s="260">
        <f t="shared" ca="1" si="37"/>
        <v>59</v>
      </c>
    </row>
    <row r="119" spans="1:43" hidden="1" outlineLevel="1" x14ac:dyDescent="0.3">
      <c r="A119" s="26" t="s">
        <v>574</v>
      </c>
      <c r="B119" s="26" t="s">
        <v>194</v>
      </c>
      <c r="C119" s="27">
        <v>1</v>
      </c>
      <c r="D119" s="129" t="s">
        <v>695</v>
      </c>
      <c r="E119" s="286" t="s">
        <v>373</v>
      </c>
      <c r="F119" s="128"/>
      <c r="G119" s="128"/>
      <c r="H119" s="128"/>
      <c r="I119" s="128"/>
      <c r="J119" s="128"/>
      <c r="K119" s="128"/>
      <c r="L119" s="27"/>
      <c r="M119" s="27"/>
      <c r="N119" s="27"/>
      <c r="O119" s="128"/>
      <c r="P119" s="317">
        <v>1</v>
      </c>
      <c r="Q119" s="190">
        <f t="shared" si="49"/>
        <v>1</v>
      </c>
      <c r="R119" s="298">
        <f t="shared" si="50"/>
        <v>0.1</v>
      </c>
      <c r="S119" s="251">
        <f t="shared" ca="1" si="51"/>
        <v>1</v>
      </c>
      <c r="T119" s="396">
        <v>0.1</v>
      </c>
      <c r="U119" s="251">
        <f t="shared" ca="1" si="52"/>
        <v>1</v>
      </c>
      <c r="V119" s="26"/>
      <c r="W119" s="26" t="s">
        <v>704</v>
      </c>
      <c r="X119" s="26"/>
      <c r="Y119" s="413"/>
      <c r="Z119" s="413"/>
      <c r="AA119" s="413"/>
      <c r="AB119" s="413"/>
      <c r="AC119" s="413"/>
      <c r="AD119" s="413"/>
      <c r="AE119" s="413"/>
      <c r="AF119" s="415">
        <v>1</v>
      </c>
      <c r="AG119" s="413"/>
      <c r="AH119" s="413"/>
      <c r="AI119" s="413"/>
      <c r="AJ119" s="413"/>
      <c r="AK119" s="413"/>
      <c r="AL119" s="413"/>
      <c r="AM119" s="193"/>
      <c r="AN119" s="408">
        <f t="shared" si="36"/>
        <v>1</v>
      </c>
      <c r="AO119" s="251">
        <f t="shared" ca="1" si="53"/>
        <v>1</v>
      </c>
      <c r="AP119" s="251">
        <f t="shared" ca="1" si="54"/>
        <v>60</v>
      </c>
      <c r="AQ119" s="260">
        <f t="shared" ca="1" si="37"/>
        <v>59</v>
      </c>
    </row>
    <row r="120" spans="1:43" hidden="1" outlineLevel="1" x14ac:dyDescent="0.3">
      <c r="A120" s="26" t="s">
        <v>376</v>
      </c>
      <c r="B120" s="26" t="s">
        <v>194</v>
      </c>
      <c r="C120" s="27">
        <v>1</v>
      </c>
      <c r="D120" s="129" t="s">
        <v>695</v>
      </c>
      <c r="E120" s="286" t="s">
        <v>374</v>
      </c>
      <c r="F120" s="128"/>
      <c r="G120" s="128"/>
      <c r="H120" s="128"/>
      <c r="I120" s="128"/>
      <c r="J120" s="128"/>
      <c r="K120" s="128"/>
      <c r="L120" s="27"/>
      <c r="M120" s="27"/>
      <c r="N120" s="27"/>
      <c r="O120" s="128"/>
      <c r="P120" s="317">
        <v>0.5</v>
      </c>
      <c r="Q120" s="190">
        <f t="shared" si="49"/>
        <v>0.5</v>
      </c>
      <c r="R120" s="298">
        <f t="shared" si="50"/>
        <v>0.1</v>
      </c>
      <c r="S120" s="251">
        <f t="shared" ca="1" si="51"/>
        <v>0.5</v>
      </c>
      <c r="T120" s="396">
        <v>0.1</v>
      </c>
      <c r="U120" s="251">
        <f t="shared" ca="1" si="52"/>
        <v>0.5</v>
      </c>
      <c r="V120" s="26"/>
      <c r="W120" s="26" t="s">
        <v>704</v>
      </c>
      <c r="X120" s="26"/>
      <c r="Y120" s="413"/>
      <c r="Z120" s="413"/>
      <c r="AA120" s="413"/>
      <c r="AB120" s="413"/>
      <c r="AC120" s="413"/>
      <c r="AD120" s="413"/>
      <c r="AE120" s="413"/>
      <c r="AF120" s="413"/>
      <c r="AG120" s="415">
        <v>1</v>
      </c>
      <c r="AH120" s="413"/>
      <c r="AI120" s="413"/>
      <c r="AJ120" s="413"/>
      <c r="AK120" s="413"/>
      <c r="AL120" s="413"/>
      <c r="AM120" s="193"/>
      <c r="AN120" s="408">
        <f t="shared" si="36"/>
        <v>1</v>
      </c>
      <c r="AO120" s="251">
        <f t="shared" ca="1" si="53"/>
        <v>0.5</v>
      </c>
      <c r="AP120" s="251">
        <f t="shared" ca="1" si="54"/>
        <v>30</v>
      </c>
      <c r="AQ120" s="260">
        <f t="shared" ca="1" si="37"/>
        <v>29.5</v>
      </c>
    </row>
    <row r="121" spans="1:43" hidden="1" outlineLevel="1" x14ac:dyDescent="0.3">
      <c r="A121" s="26" t="s">
        <v>376</v>
      </c>
      <c r="B121" s="26" t="s">
        <v>194</v>
      </c>
      <c r="C121" s="27">
        <v>1</v>
      </c>
      <c r="D121" s="129" t="s">
        <v>695</v>
      </c>
      <c r="E121" s="304" t="s">
        <v>375</v>
      </c>
      <c r="F121" s="141"/>
      <c r="G121" s="141"/>
      <c r="H121" s="141"/>
      <c r="I121" s="141"/>
      <c r="J121" s="141"/>
      <c r="K121" s="141"/>
      <c r="L121" s="188"/>
      <c r="M121" s="188"/>
      <c r="N121" s="188"/>
      <c r="O121" s="141"/>
      <c r="P121" s="316">
        <v>0.5</v>
      </c>
      <c r="Q121" s="296">
        <f t="shared" si="49"/>
        <v>0.5</v>
      </c>
      <c r="R121" s="269">
        <f t="shared" si="50"/>
        <v>0.1</v>
      </c>
      <c r="S121" s="399">
        <f t="shared" ca="1" si="51"/>
        <v>0.5</v>
      </c>
      <c r="T121" s="397">
        <v>0.1</v>
      </c>
      <c r="U121" s="399">
        <f t="shared" ca="1" si="52"/>
        <v>0.5</v>
      </c>
      <c r="V121" s="26"/>
      <c r="W121" s="26" t="s">
        <v>704</v>
      </c>
      <c r="X121" s="26"/>
      <c r="Y121" s="414"/>
      <c r="Z121" s="414"/>
      <c r="AA121" s="414"/>
      <c r="AB121" s="414"/>
      <c r="AC121" s="414"/>
      <c r="AD121" s="414"/>
      <c r="AE121" s="414"/>
      <c r="AF121" s="414"/>
      <c r="AG121" s="416">
        <v>1</v>
      </c>
      <c r="AH121" s="414"/>
      <c r="AI121" s="414"/>
      <c r="AJ121" s="414"/>
      <c r="AK121" s="414"/>
      <c r="AL121" s="414"/>
      <c r="AM121" s="193"/>
      <c r="AN121" s="409">
        <f t="shared" si="36"/>
        <v>1</v>
      </c>
      <c r="AO121" s="399">
        <f t="shared" ca="1" si="53"/>
        <v>0.5</v>
      </c>
      <c r="AP121" s="399">
        <f t="shared" ca="1" si="54"/>
        <v>30</v>
      </c>
      <c r="AQ121" s="260">
        <f t="shared" ca="1" si="37"/>
        <v>29.5</v>
      </c>
    </row>
    <row r="122" spans="1:43" s="312" customFormat="1" collapsed="1" x14ac:dyDescent="0.3">
      <c r="B122" s="312" t="s">
        <v>194</v>
      </c>
      <c r="C122" s="27">
        <v>2</v>
      </c>
      <c r="D122" s="129" t="s">
        <v>695</v>
      </c>
      <c r="E122" s="306" t="s">
        <v>299</v>
      </c>
      <c r="F122" s="307"/>
      <c r="G122" s="307"/>
      <c r="H122" s="307"/>
      <c r="I122" s="307"/>
      <c r="J122" s="307"/>
      <c r="K122" s="307"/>
      <c r="L122" s="310"/>
      <c r="M122" s="308"/>
      <c r="N122" s="309"/>
      <c r="O122" s="308"/>
      <c r="P122" s="308">
        <f>SUM(P116:P121)</f>
        <v>5.5</v>
      </c>
      <c r="Q122" s="308">
        <f>SUM(Q116:Q121)</f>
        <v>5.5</v>
      </c>
      <c r="R122" s="235">
        <f t="shared" si="50"/>
        <v>0.1</v>
      </c>
      <c r="S122" s="308">
        <f ca="1">SUM(S116:S121)</f>
        <v>5.5</v>
      </c>
      <c r="T122" s="235">
        <f ca="1">IFERROR(10^(LOG(U122/S122)/LOG(Q_prototype)-1),0)</f>
        <v>0.1</v>
      </c>
      <c r="U122" s="308">
        <f ca="1">SUM(U116:U121)</f>
        <v>5.5</v>
      </c>
      <c r="V122" s="311"/>
      <c r="W122" s="260" t="s">
        <v>690</v>
      </c>
      <c r="X122" s="311"/>
      <c r="Y122" s="310">
        <f t="shared" ref="Y122:AL122" ca="1" si="55">SUMPRODUCT($U116:$U121,Y116:Y121)</f>
        <v>0</v>
      </c>
      <c r="Z122" s="310">
        <f t="shared" ca="1" si="55"/>
        <v>0</v>
      </c>
      <c r="AA122" s="310">
        <f t="shared" ca="1" si="55"/>
        <v>0</v>
      </c>
      <c r="AB122" s="310">
        <f t="shared" ca="1" si="55"/>
        <v>0</v>
      </c>
      <c r="AC122" s="310">
        <f t="shared" ca="1" si="55"/>
        <v>0</v>
      </c>
      <c r="AD122" s="310">
        <f t="shared" ca="1" si="55"/>
        <v>0</v>
      </c>
      <c r="AE122" s="310">
        <f t="shared" ca="1" si="55"/>
        <v>0</v>
      </c>
      <c r="AF122" s="310">
        <f t="shared" ca="1" si="55"/>
        <v>4</v>
      </c>
      <c r="AG122" s="310">
        <f t="shared" ca="1" si="55"/>
        <v>1.5</v>
      </c>
      <c r="AH122" s="310">
        <f t="shared" ca="1" si="55"/>
        <v>0</v>
      </c>
      <c r="AI122" s="310">
        <f t="shared" ca="1" si="55"/>
        <v>0</v>
      </c>
      <c r="AJ122" s="310">
        <f t="shared" ca="1" si="55"/>
        <v>0</v>
      </c>
      <c r="AK122" s="310">
        <f t="shared" ca="1" si="55"/>
        <v>0</v>
      </c>
      <c r="AL122" s="310">
        <f t="shared" ca="1" si="55"/>
        <v>0</v>
      </c>
      <c r="AM122" s="311"/>
      <c r="AN122" s="308">
        <f t="shared" ca="1" si="36"/>
        <v>5.5</v>
      </c>
      <c r="AO122" s="308">
        <f ca="1">SUM(AO116:AO121)</f>
        <v>5.5</v>
      </c>
      <c r="AP122" s="308">
        <f ca="1">SUM(AP116:AP121)</f>
        <v>330</v>
      </c>
      <c r="AQ122" s="458">
        <f ca="1">AP122-U122*(1+employer_contributions)*average_wage</f>
        <v>0</v>
      </c>
    </row>
    <row r="123" spans="1:43" hidden="1" outlineLevel="1" x14ac:dyDescent="0.3">
      <c r="C123"/>
      <c r="D123" s="129" t="s">
        <v>695</v>
      </c>
      <c r="E123" s="43"/>
      <c r="F123"/>
      <c r="G123"/>
      <c r="H123"/>
      <c r="I123"/>
      <c r="J123"/>
      <c r="K123"/>
      <c r="L123" s="27"/>
      <c r="M123" s="27"/>
      <c r="N123" s="27"/>
      <c r="O123"/>
      <c r="P123" s="251"/>
      <c r="Q123" s="244"/>
      <c r="R123" s="76"/>
      <c r="S123" s="251"/>
      <c r="T123" s="76"/>
      <c r="U123" s="251"/>
      <c r="V123"/>
      <c r="X123"/>
      <c r="Y123" s="139"/>
      <c r="Z123" s="139"/>
      <c r="AA123" s="139"/>
      <c r="AB123" s="139"/>
      <c r="AC123" s="139"/>
      <c r="AD123" s="139"/>
      <c r="AE123" s="139"/>
      <c r="AF123" s="139"/>
      <c r="AG123" s="139"/>
      <c r="AH123" s="139"/>
      <c r="AI123" s="139"/>
      <c r="AJ123" s="139"/>
      <c r="AK123" s="139"/>
      <c r="AL123" s="139"/>
      <c r="AO123" s="251"/>
      <c r="AP123" s="251"/>
      <c r="AQ123" s="260">
        <f t="shared" si="37"/>
        <v>0</v>
      </c>
    </row>
    <row r="124" spans="1:43" hidden="1" outlineLevel="1" x14ac:dyDescent="0.3">
      <c r="A124" s="26" t="s">
        <v>577</v>
      </c>
      <c r="B124" s="26" t="s">
        <v>194</v>
      </c>
      <c r="C124" s="27">
        <v>1</v>
      </c>
      <c r="D124" s="129" t="s">
        <v>695</v>
      </c>
      <c r="E124" s="128" t="s">
        <v>377</v>
      </c>
      <c r="F124" s="128"/>
      <c r="G124" s="128"/>
      <c r="H124" s="128"/>
      <c r="I124" s="128"/>
      <c r="J124" s="128"/>
      <c r="K124" s="128"/>
      <c r="L124" s="27"/>
      <c r="M124" s="27"/>
      <c r="N124" s="27"/>
      <c r="O124" s="128"/>
      <c r="P124" s="317">
        <v>2</v>
      </c>
      <c r="Q124" s="190">
        <f>P124</f>
        <v>2</v>
      </c>
      <c r="R124" s="298">
        <f xml:space="preserve"> 10^(LOG(Q124/P124)/LOG(Q$6/P$6)-1)</f>
        <v>0.1</v>
      </c>
      <c r="S124" s="251">
        <f ca="1">P124*(10*R124)^LOG(wing_area/ref_wing_area)</f>
        <v>2</v>
      </c>
      <c r="T124" s="396">
        <v>0.1</v>
      </c>
      <c r="U124" s="251">
        <f ca="1">S124*(10*T124)^LOG(Q_prototype)</f>
        <v>2</v>
      </c>
      <c r="V124" s="26"/>
      <c r="W124" s="26" t="s">
        <v>704</v>
      </c>
      <c r="X124" s="26"/>
      <c r="Y124" s="413"/>
      <c r="Z124" s="413"/>
      <c r="AA124" s="413"/>
      <c r="AB124" s="413"/>
      <c r="AC124" s="413"/>
      <c r="AD124" s="413"/>
      <c r="AE124" s="413"/>
      <c r="AF124" s="413"/>
      <c r="AG124" s="413"/>
      <c r="AH124" s="415">
        <v>1</v>
      </c>
      <c r="AI124" s="413"/>
      <c r="AJ124" s="413"/>
      <c r="AK124" s="413"/>
      <c r="AL124" s="413"/>
      <c r="AM124" s="193"/>
      <c r="AN124" s="408">
        <f t="shared" si="36"/>
        <v>1</v>
      </c>
      <c r="AO124" s="251">
        <f ca="1">AN124*U124</f>
        <v>2</v>
      </c>
      <c r="AP124" s="251">
        <f ca="1">AO124*average_wage*(1+employer_contributions)</f>
        <v>120</v>
      </c>
      <c r="AQ124" s="260">
        <f t="shared" ca="1" si="37"/>
        <v>118</v>
      </c>
    </row>
    <row r="125" spans="1:43" hidden="1" outlineLevel="1" x14ac:dyDescent="0.3">
      <c r="A125" s="26" t="s">
        <v>577</v>
      </c>
      <c r="B125" s="26" t="s">
        <v>194</v>
      </c>
      <c r="C125" s="27">
        <v>1</v>
      </c>
      <c r="D125" s="129" t="s">
        <v>695</v>
      </c>
      <c r="E125" s="141" t="s">
        <v>378</v>
      </c>
      <c r="F125" s="141"/>
      <c r="G125" s="141"/>
      <c r="H125" s="141"/>
      <c r="I125" s="141"/>
      <c r="J125" s="141"/>
      <c r="K125" s="141"/>
      <c r="L125" s="188"/>
      <c r="M125" s="188"/>
      <c r="N125" s="188"/>
      <c r="O125" s="141"/>
      <c r="P125" s="316">
        <v>2</v>
      </c>
      <c r="Q125" s="296">
        <f>P125</f>
        <v>2</v>
      </c>
      <c r="R125" s="269">
        <f xml:space="preserve"> 10^(LOG(Q125/P125)/LOG(Q$6/P$6)-1)</f>
        <v>0.1</v>
      </c>
      <c r="S125" s="399">
        <f ca="1">P125*(10*R125)^LOG(wing_area/ref_wing_area)</f>
        <v>2</v>
      </c>
      <c r="T125" s="397">
        <v>0.1</v>
      </c>
      <c r="U125" s="399">
        <f ca="1">S125*(10*T125)^LOG(Q_prototype)</f>
        <v>2</v>
      </c>
      <c r="V125" s="26"/>
      <c r="W125" s="26" t="s">
        <v>704</v>
      </c>
      <c r="X125" s="26"/>
      <c r="Y125" s="414"/>
      <c r="Z125" s="414"/>
      <c r="AA125" s="414"/>
      <c r="AB125" s="414"/>
      <c r="AC125" s="414"/>
      <c r="AD125" s="414"/>
      <c r="AE125" s="414"/>
      <c r="AF125" s="414"/>
      <c r="AG125" s="414"/>
      <c r="AH125" s="416">
        <v>1</v>
      </c>
      <c r="AI125" s="414"/>
      <c r="AJ125" s="414"/>
      <c r="AK125" s="414"/>
      <c r="AL125" s="414"/>
      <c r="AM125" s="193"/>
      <c r="AN125" s="409">
        <f t="shared" si="36"/>
        <v>1</v>
      </c>
      <c r="AO125" s="399">
        <f ca="1">AN125*U125</f>
        <v>2</v>
      </c>
      <c r="AP125" s="399">
        <f ca="1">AO125*average_wage*(1+employer_contributions)</f>
        <v>120</v>
      </c>
      <c r="AQ125" s="260">
        <f t="shared" ca="1" si="37"/>
        <v>118</v>
      </c>
    </row>
    <row r="126" spans="1:43" s="312" customFormat="1" collapsed="1" x14ac:dyDescent="0.3">
      <c r="B126" s="312" t="s">
        <v>194</v>
      </c>
      <c r="C126" s="27">
        <v>2</v>
      </c>
      <c r="D126" s="129" t="s">
        <v>695</v>
      </c>
      <c r="E126" s="306" t="s">
        <v>570</v>
      </c>
      <c r="F126" s="307"/>
      <c r="G126" s="307"/>
      <c r="H126" s="307"/>
      <c r="I126" s="307"/>
      <c r="J126" s="307"/>
      <c r="K126" s="307"/>
      <c r="L126" s="310"/>
      <c r="M126" s="308"/>
      <c r="N126" s="309"/>
      <c r="O126" s="308"/>
      <c r="P126" s="308">
        <f>SUM(P124:P125)</f>
        <v>4</v>
      </c>
      <c r="Q126" s="308">
        <f>SUM(Q124:Q125)</f>
        <v>4</v>
      </c>
      <c r="R126" s="235">
        <f xml:space="preserve"> 10^(LOG(Q126/P126)/LOG(Q$6/P$6)-1)</f>
        <v>0.1</v>
      </c>
      <c r="S126" s="308">
        <f ca="1">SUM(S124:S125)</f>
        <v>4</v>
      </c>
      <c r="T126" s="235">
        <f ca="1">IFERROR(10^(LOG(U126/S126)/LOG(Q_prototype)-1),0)</f>
        <v>0.1</v>
      </c>
      <c r="U126" s="308">
        <f ca="1">SUM(U124:U125)</f>
        <v>4</v>
      </c>
      <c r="V126" s="311"/>
      <c r="W126" s="260" t="s">
        <v>690</v>
      </c>
      <c r="X126" s="311"/>
      <c r="Y126" s="310">
        <f t="shared" ref="Y126:AL126" ca="1" si="56">SUMPRODUCT($U124:$U125,Y124:Y125)</f>
        <v>0</v>
      </c>
      <c r="Z126" s="310">
        <f t="shared" ca="1" si="56"/>
        <v>0</v>
      </c>
      <c r="AA126" s="310">
        <f t="shared" ca="1" si="56"/>
        <v>0</v>
      </c>
      <c r="AB126" s="310">
        <f t="shared" ca="1" si="56"/>
        <v>0</v>
      </c>
      <c r="AC126" s="310">
        <f t="shared" ca="1" si="56"/>
        <v>0</v>
      </c>
      <c r="AD126" s="310">
        <f t="shared" ca="1" si="56"/>
        <v>0</v>
      </c>
      <c r="AE126" s="310">
        <f t="shared" ca="1" si="56"/>
        <v>0</v>
      </c>
      <c r="AF126" s="310">
        <f t="shared" ca="1" si="56"/>
        <v>0</v>
      </c>
      <c r="AG126" s="310">
        <f t="shared" ca="1" si="56"/>
        <v>0</v>
      </c>
      <c r="AH126" s="310">
        <f t="shared" ca="1" si="56"/>
        <v>4</v>
      </c>
      <c r="AI126" s="310">
        <f t="shared" ca="1" si="56"/>
        <v>0</v>
      </c>
      <c r="AJ126" s="310">
        <f t="shared" ca="1" si="56"/>
        <v>0</v>
      </c>
      <c r="AK126" s="310">
        <f t="shared" ca="1" si="56"/>
        <v>0</v>
      </c>
      <c r="AL126" s="310">
        <f t="shared" ca="1" si="56"/>
        <v>0</v>
      </c>
      <c r="AM126" s="311"/>
      <c r="AN126" s="308">
        <f t="shared" ca="1" si="36"/>
        <v>4</v>
      </c>
      <c r="AO126" s="308">
        <f ca="1">SUM(AO124:AO125)</f>
        <v>4</v>
      </c>
      <c r="AP126" s="308">
        <f ca="1">SUM(AP124:AP125)</f>
        <v>240</v>
      </c>
      <c r="AQ126" s="458">
        <f ca="1">AP126-U126*(1+employer_contributions)*average_wage</f>
        <v>0</v>
      </c>
    </row>
    <row r="127" spans="1:43" hidden="1" outlineLevel="1" x14ac:dyDescent="0.3">
      <c r="C127"/>
      <c r="D127" s="129" t="s">
        <v>695</v>
      </c>
      <c r="E127" s="43"/>
      <c r="F127"/>
      <c r="G127"/>
      <c r="H127"/>
      <c r="I127"/>
      <c r="J127"/>
      <c r="K127"/>
      <c r="L127" s="27"/>
      <c r="M127" s="27"/>
      <c r="N127" s="27"/>
      <c r="O127"/>
      <c r="P127" s="251"/>
      <c r="Q127" s="244"/>
      <c r="R127" s="76"/>
      <c r="S127" s="251"/>
      <c r="T127" s="76"/>
      <c r="U127" s="251"/>
      <c r="V127"/>
      <c r="X127"/>
      <c r="Y127" s="139"/>
      <c r="Z127" s="139"/>
      <c r="AA127" s="139"/>
      <c r="AB127" s="139"/>
      <c r="AC127" s="139"/>
      <c r="AD127" s="139"/>
      <c r="AE127" s="139"/>
      <c r="AF127" s="139"/>
      <c r="AG127" s="139"/>
      <c r="AH127" s="139"/>
      <c r="AI127" s="139"/>
      <c r="AJ127" s="139"/>
      <c r="AK127" s="139"/>
      <c r="AL127" s="139"/>
      <c r="AO127" s="251"/>
      <c r="AP127" s="251"/>
      <c r="AQ127" s="260">
        <f t="shared" si="37"/>
        <v>0</v>
      </c>
    </row>
    <row r="128" spans="1:43" s="312" customFormat="1" ht="14.25" customHeight="1" collapsed="1" x14ac:dyDescent="0.3">
      <c r="A128" s="347"/>
      <c r="B128" s="312" t="s">
        <v>194</v>
      </c>
      <c r="C128" s="27">
        <v>3</v>
      </c>
      <c r="D128" s="129" t="s">
        <v>695</v>
      </c>
      <c r="E128" s="313" t="s">
        <v>696</v>
      </c>
      <c r="F128" s="313"/>
      <c r="G128" s="313"/>
      <c r="H128" s="313"/>
      <c r="I128" s="313"/>
      <c r="J128" s="313"/>
      <c r="K128" s="313"/>
      <c r="L128" s="314"/>
      <c r="M128" s="314"/>
      <c r="N128" s="314"/>
      <c r="O128" s="314"/>
      <c r="P128" s="314">
        <f>P104+P109+P114+P122+P126</f>
        <v>25.75</v>
      </c>
      <c r="Q128" s="314">
        <f>Q104+Q109+Q114+Q122+Q126</f>
        <v>25.75</v>
      </c>
      <c r="R128" s="272">
        <f xml:space="preserve"> 10^(LOG(Q128/P128)/LOG(Q$6/P$6)-1)</f>
        <v>0.1</v>
      </c>
      <c r="S128" s="314">
        <f ca="1">S104+S109+S114+S122+S126</f>
        <v>25.75</v>
      </c>
      <c r="T128" s="405">
        <f ca="1">IFERROR(10^(LOG(U128/S128)/LOG(Q_prototype)-1),0)</f>
        <v>0.1</v>
      </c>
      <c r="U128" s="314">
        <f ca="1">U104+U109+U114+U122+U126</f>
        <v>25.75</v>
      </c>
      <c r="V128" s="334"/>
      <c r="W128" s="260" t="s">
        <v>690</v>
      </c>
      <c r="X128" s="334"/>
      <c r="Y128" s="313">
        <f t="shared" ref="Y128:AL128" ca="1" si="57">Y104+Y109+Y114+Y122+Y126</f>
        <v>0</v>
      </c>
      <c r="Z128" s="313">
        <f t="shared" ca="1" si="57"/>
        <v>1</v>
      </c>
      <c r="AA128" s="313">
        <f t="shared" ca="1" si="57"/>
        <v>1</v>
      </c>
      <c r="AB128" s="313">
        <f t="shared" ca="1" si="57"/>
        <v>1.25</v>
      </c>
      <c r="AC128" s="313">
        <f t="shared" ca="1" si="57"/>
        <v>1.5</v>
      </c>
      <c r="AD128" s="313">
        <f t="shared" ca="1" si="57"/>
        <v>6.5</v>
      </c>
      <c r="AE128" s="313">
        <f t="shared" ca="1" si="57"/>
        <v>5</v>
      </c>
      <c r="AF128" s="313">
        <f t="shared" ca="1" si="57"/>
        <v>4</v>
      </c>
      <c r="AG128" s="313">
        <f t="shared" ca="1" si="57"/>
        <v>1.5</v>
      </c>
      <c r="AH128" s="313">
        <f t="shared" ca="1" si="57"/>
        <v>4</v>
      </c>
      <c r="AI128" s="313">
        <f t="shared" ca="1" si="57"/>
        <v>0</v>
      </c>
      <c r="AJ128" s="313">
        <f t="shared" ca="1" si="57"/>
        <v>0</v>
      </c>
      <c r="AK128" s="313">
        <f t="shared" ca="1" si="57"/>
        <v>0</v>
      </c>
      <c r="AL128" s="340">
        <f t="shared" ca="1" si="57"/>
        <v>0</v>
      </c>
      <c r="AM128" s="337"/>
      <c r="AN128" s="314">
        <f t="shared" ca="1" si="36"/>
        <v>25.75</v>
      </c>
      <c r="AO128" s="314"/>
      <c r="AP128" s="314">
        <f ca="1">AP104+AP109+AP114+AP122+AP126</f>
        <v>1545</v>
      </c>
      <c r="AQ128" s="458">
        <f ca="1">AP128-U128*(1+employer_contributions)*average_wage</f>
        <v>0</v>
      </c>
    </row>
    <row r="129" spans="1:43" s="9" customFormat="1" x14ac:dyDescent="0.3">
      <c r="B129" s="26" t="s">
        <v>194</v>
      </c>
      <c r="C129" s="27">
        <v>3.5</v>
      </c>
      <c r="D129" s="129" t="s">
        <v>707</v>
      </c>
      <c r="E129" s="139" t="s">
        <v>682</v>
      </c>
      <c r="R129" s="267"/>
      <c r="S129" s="264"/>
      <c r="T129" s="267"/>
      <c r="U129" s="264"/>
      <c r="W129" s="9" t="s">
        <v>692</v>
      </c>
      <c r="Y129" s="385">
        <f t="shared" ref="Y129:AL129" ca="1" si="58">Y128*2</f>
        <v>0</v>
      </c>
      <c r="Z129" s="385">
        <f t="shared" ca="1" si="58"/>
        <v>2</v>
      </c>
      <c r="AA129" s="385">
        <f t="shared" ca="1" si="58"/>
        <v>2</v>
      </c>
      <c r="AB129" s="385">
        <f t="shared" ca="1" si="58"/>
        <v>2.5</v>
      </c>
      <c r="AC129" s="385">
        <f t="shared" ca="1" si="58"/>
        <v>3</v>
      </c>
      <c r="AD129" s="385">
        <f t="shared" ca="1" si="58"/>
        <v>13</v>
      </c>
      <c r="AE129" s="385">
        <f t="shared" ca="1" si="58"/>
        <v>10</v>
      </c>
      <c r="AF129" s="385">
        <f t="shared" ca="1" si="58"/>
        <v>8</v>
      </c>
      <c r="AG129" s="385">
        <f t="shared" ca="1" si="58"/>
        <v>3</v>
      </c>
      <c r="AH129" s="385">
        <f t="shared" ca="1" si="58"/>
        <v>8</v>
      </c>
      <c r="AI129" s="385">
        <f t="shared" ca="1" si="58"/>
        <v>0</v>
      </c>
      <c r="AJ129" s="385">
        <f t="shared" ca="1" si="58"/>
        <v>0</v>
      </c>
      <c r="AK129" s="385">
        <f t="shared" ca="1" si="58"/>
        <v>0</v>
      </c>
      <c r="AL129" s="385">
        <f t="shared" ca="1" si="58"/>
        <v>0</v>
      </c>
      <c r="AN129" s="406">
        <f t="shared" ca="1" si="36"/>
        <v>51.5</v>
      </c>
      <c r="AO129" s="406"/>
      <c r="AP129" s="264"/>
      <c r="AQ129" s="260">
        <f t="shared" si="37"/>
        <v>0</v>
      </c>
    </row>
    <row r="130" spans="1:43" x14ac:dyDescent="0.3">
      <c r="C130"/>
      <c r="D130" s="139"/>
      <c r="L130" s="26"/>
      <c r="M130" s="26"/>
      <c r="N130" s="26"/>
      <c r="P130" s="26"/>
      <c r="Q130" s="26"/>
      <c r="R130" s="266"/>
      <c r="T130" s="266"/>
      <c r="V130" s="26"/>
      <c r="X130" s="26"/>
      <c r="Y130" s="26"/>
      <c r="AQ130" s="260">
        <f t="shared" si="37"/>
        <v>0</v>
      </c>
    </row>
    <row r="131" spans="1:43" hidden="1" outlineLevel="1" x14ac:dyDescent="0.3">
      <c r="B131" s="26" t="s">
        <v>194</v>
      </c>
      <c r="C131" s="27">
        <v>9</v>
      </c>
      <c r="D131" s="129" t="s">
        <v>707</v>
      </c>
      <c r="E131" s="289" t="s">
        <v>422</v>
      </c>
      <c r="L131" s="27"/>
      <c r="M131" s="27"/>
      <c r="N131" s="27"/>
      <c r="Q131" s="27"/>
      <c r="R131" s="266"/>
      <c r="T131" s="266"/>
      <c r="V131" s="26"/>
      <c r="X131" s="26"/>
      <c r="Y131" s="26"/>
      <c r="Z131" s="139"/>
      <c r="AA131" s="139"/>
      <c r="AB131" s="139"/>
      <c r="AC131" s="139"/>
      <c r="AD131" s="139"/>
      <c r="AE131" s="139"/>
      <c r="AF131" s="139"/>
      <c r="AG131" s="139"/>
      <c r="AH131" s="139"/>
      <c r="AI131" s="139"/>
      <c r="AJ131" s="139"/>
      <c r="AK131" s="139"/>
      <c r="AL131" s="139"/>
      <c r="AQ131" s="260">
        <f t="shared" si="37"/>
        <v>0</v>
      </c>
    </row>
    <row r="132" spans="1:43" hidden="1" outlineLevel="1" collapsed="1" x14ac:dyDescent="0.3">
      <c r="C132"/>
      <c r="D132" s="139"/>
      <c r="L132" s="26"/>
      <c r="M132" s="26"/>
      <c r="N132" s="26"/>
      <c r="P132" s="26"/>
      <c r="Q132" s="26"/>
      <c r="R132" s="266"/>
      <c r="T132" s="266"/>
      <c r="V132" s="26"/>
      <c r="X132" s="26"/>
      <c r="Y132" s="26"/>
      <c r="AQ132" s="260">
        <f t="shared" si="37"/>
        <v>0</v>
      </c>
    </row>
    <row r="133" spans="1:43" hidden="1" outlineLevel="1" x14ac:dyDescent="0.3">
      <c r="A133" s="26" t="s">
        <v>574</v>
      </c>
      <c r="B133" s="26" t="s">
        <v>194</v>
      </c>
      <c r="C133" s="27">
        <v>1</v>
      </c>
      <c r="D133" s="129" t="s">
        <v>707</v>
      </c>
      <c r="E133" s="300" t="s">
        <v>363</v>
      </c>
      <c r="F133" s="300"/>
      <c r="G133" s="300"/>
      <c r="H133" s="300"/>
      <c r="I133" s="300"/>
      <c r="J133" s="300"/>
      <c r="K133" s="300"/>
      <c r="L133" s="27"/>
      <c r="M133" s="27"/>
      <c r="N133" s="27"/>
      <c r="O133" s="300"/>
      <c r="P133" s="58">
        <v>195</v>
      </c>
      <c r="Q133" s="233">
        <f>P133</f>
        <v>195</v>
      </c>
      <c r="R133" s="275">
        <f xml:space="preserve"> 10^(LOG(Q133/P133)/LOG(Q$6/P$6)-1)</f>
        <v>0.1</v>
      </c>
      <c r="S133" s="32">
        <f ca="1">P133*(10*R133)^LOG(wing_area/ref_wing_area)</f>
        <v>195</v>
      </c>
      <c r="T133" s="396">
        <v>0.1</v>
      </c>
      <c r="U133" s="32">
        <f ca="1">S133*(10*T133)^LOG(Q_prototype)</f>
        <v>195</v>
      </c>
      <c r="V133" s="26"/>
      <c r="W133" s="26" t="s">
        <v>704</v>
      </c>
      <c r="X133" s="26"/>
      <c r="Y133" s="413"/>
      <c r="Z133" s="415">
        <v>1</v>
      </c>
      <c r="AA133" s="413"/>
      <c r="AB133" s="413"/>
      <c r="AC133" s="413"/>
      <c r="AD133" s="413"/>
      <c r="AE133" s="413"/>
      <c r="AF133" s="413"/>
      <c r="AG133" s="413"/>
      <c r="AH133" s="413"/>
      <c r="AI133" s="413"/>
      <c r="AJ133" s="413"/>
      <c r="AK133" s="413"/>
      <c r="AL133" s="413"/>
      <c r="AM133" s="193"/>
      <c r="AN133" s="408">
        <f t="shared" si="36"/>
        <v>1</v>
      </c>
      <c r="AO133" s="251"/>
      <c r="AP133" s="32">
        <f ca="1">U133*AN133</f>
        <v>195</v>
      </c>
      <c r="AQ133" s="260">
        <f t="shared" ca="1" si="37"/>
        <v>0</v>
      </c>
    </row>
    <row r="134" spans="1:43" hidden="1" outlineLevel="1" x14ac:dyDescent="0.3">
      <c r="A134" s="26" t="s">
        <v>574</v>
      </c>
      <c r="B134" s="26" t="s">
        <v>194</v>
      </c>
      <c r="C134" s="27">
        <v>1</v>
      </c>
      <c r="D134" s="129" t="s">
        <v>707</v>
      </c>
      <c r="E134" s="300" t="s">
        <v>364</v>
      </c>
      <c r="F134" s="293"/>
      <c r="G134" s="293"/>
      <c r="H134" s="293"/>
      <c r="I134" s="293"/>
      <c r="J134" s="293"/>
      <c r="K134" s="293"/>
      <c r="L134" s="27"/>
      <c r="M134" s="27"/>
      <c r="N134" s="27"/>
      <c r="O134" s="293"/>
      <c r="P134" s="46">
        <v>50</v>
      </c>
      <c r="Q134" s="233">
        <f>P134</f>
        <v>50</v>
      </c>
      <c r="R134" s="298">
        <f xml:space="preserve"> 10^(LOG(Q134/P134)/LOG(Q$6/P$6)-1)</f>
        <v>0.1</v>
      </c>
      <c r="S134" s="32">
        <f ca="1">P134*(10*R134)^LOG(wing_area/ref_wing_area)</f>
        <v>50</v>
      </c>
      <c r="T134" s="396">
        <v>0.1</v>
      </c>
      <c r="U134" s="32">
        <f ca="1">S134*(10*T134)^LOG(Q_prototype)</f>
        <v>50</v>
      </c>
      <c r="V134" s="26"/>
      <c r="W134" s="26" t="s">
        <v>704</v>
      </c>
      <c r="X134" s="26"/>
      <c r="Y134" s="413"/>
      <c r="Z134" s="413"/>
      <c r="AA134" s="413"/>
      <c r="AB134" s="413"/>
      <c r="AC134" s="415">
        <v>1</v>
      </c>
      <c r="AD134" s="413"/>
      <c r="AE134" s="413"/>
      <c r="AF134" s="413"/>
      <c r="AG134" s="413"/>
      <c r="AH134" s="413"/>
      <c r="AI134" s="413"/>
      <c r="AJ134" s="413"/>
      <c r="AK134" s="413"/>
      <c r="AL134" s="413"/>
      <c r="AM134" s="193"/>
      <c r="AN134" s="408">
        <f t="shared" si="36"/>
        <v>1</v>
      </c>
      <c r="AO134" s="251"/>
      <c r="AP134" s="32">
        <f ca="1">U134*AN134</f>
        <v>50</v>
      </c>
      <c r="AQ134" s="260">
        <f t="shared" ca="1" si="37"/>
        <v>0</v>
      </c>
    </row>
    <row r="135" spans="1:43" hidden="1" outlineLevel="1" x14ac:dyDescent="0.3">
      <c r="A135" s="26" t="s">
        <v>574</v>
      </c>
      <c r="B135" s="26" t="s">
        <v>194</v>
      </c>
      <c r="C135" s="27">
        <v>1</v>
      </c>
      <c r="D135" s="129" t="s">
        <v>707</v>
      </c>
      <c r="E135" s="302" t="s">
        <v>365</v>
      </c>
      <c r="F135" s="305"/>
      <c r="G135" s="305"/>
      <c r="H135" s="305"/>
      <c r="I135" s="305"/>
      <c r="J135" s="305"/>
      <c r="K135" s="305"/>
      <c r="L135" s="188"/>
      <c r="M135" s="188"/>
      <c r="N135" s="188"/>
      <c r="O135" s="305"/>
      <c r="P135" s="318">
        <v>150</v>
      </c>
      <c r="Q135" s="319">
        <f>P135</f>
        <v>150</v>
      </c>
      <c r="R135" s="269">
        <f xml:space="preserve"> 10^(LOG(Q135/P135)/LOG(Q$6/P$6)-1)</f>
        <v>0.1</v>
      </c>
      <c r="S135" s="265">
        <f ca="1">P135*(10*R135)^LOG(wing_area/ref_wing_area)</f>
        <v>150</v>
      </c>
      <c r="T135" s="397">
        <v>0.1</v>
      </c>
      <c r="U135" s="265">
        <f ca="1">S135*(10*T135)^LOG(Q_prototype)</f>
        <v>150</v>
      </c>
      <c r="V135" s="26"/>
      <c r="W135" s="26" t="s">
        <v>704</v>
      </c>
      <c r="X135" s="26"/>
      <c r="Y135" s="414"/>
      <c r="Z135" s="414"/>
      <c r="AA135" s="414"/>
      <c r="AB135" s="416">
        <v>0.5</v>
      </c>
      <c r="AC135" s="416">
        <v>0.5</v>
      </c>
      <c r="AD135" s="414"/>
      <c r="AE135" s="414"/>
      <c r="AF135" s="414"/>
      <c r="AG135" s="414"/>
      <c r="AH135" s="414"/>
      <c r="AI135" s="414"/>
      <c r="AJ135" s="414"/>
      <c r="AK135" s="414"/>
      <c r="AL135" s="414"/>
      <c r="AM135" s="193"/>
      <c r="AN135" s="409">
        <f t="shared" ref="AN135:AN198" si="59">SUM(Y135:AM135)</f>
        <v>1</v>
      </c>
      <c r="AO135" s="399"/>
      <c r="AP135" s="265">
        <f ca="1">U135*AN135</f>
        <v>150</v>
      </c>
      <c r="AQ135" s="260">
        <f t="shared" ca="1" si="37"/>
        <v>0</v>
      </c>
    </row>
    <row r="136" spans="1:43" s="260" customFormat="1" collapsed="1" x14ac:dyDescent="0.3">
      <c r="B136" s="260" t="s">
        <v>194</v>
      </c>
      <c r="C136" s="27">
        <v>2</v>
      </c>
      <c r="D136" s="129" t="s">
        <v>707</v>
      </c>
      <c r="E136" s="279" t="s">
        <v>559</v>
      </c>
      <c r="F136" s="239"/>
      <c r="G136" s="239"/>
      <c r="H136" s="239"/>
      <c r="I136" s="239"/>
      <c r="J136" s="239"/>
      <c r="K136" s="239"/>
      <c r="L136" s="261">
        <f>SUM(L133:L135)</f>
        <v>0</v>
      </c>
      <c r="M136" s="234">
        <f>SUM(M133:M135)</f>
        <v>0</v>
      </c>
      <c r="N136" s="294">
        <f>SUM(N133:N135)</f>
        <v>0</v>
      </c>
      <c r="O136" s="234"/>
      <c r="P136" s="234">
        <f>SUM(P133:P135)</f>
        <v>395</v>
      </c>
      <c r="Q136" s="234">
        <f>SUM(Q133:Q135)</f>
        <v>395</v>
      </c>
      <c r="R136" s="235">
        <f xml:space="preserve"> 10^(LOG(Q136/P136)/LOG(Q$6/P$6)-1)</f>
        <v>0.1</v>
      </c>
      <c r="S136" s="234">
        <f ca="1">SUM(S133:S135)</f>
        <v>395</v>
      </c>
      <c r="T136" s="235">
        <f ca="1">IFERROR(10^(LOG(U136/S136)/LOG(Q_prototype)-1),0)</f>
        <v>0.1</v>
      </c>
      <c r="U136" s="234">
        <f ca="1">SUM(U133:U135)</f>
        <v>395</v>
      </c>
      <c r="V136" s="140"/>
      <c r="W136" s="260" t="s">
        <v>305</v>
      </c>
      <c r="X136" s="140"/>
      <c r="Y136" s="261">
        <f t="shared" ref="Y136:AL136" ca="1" si="60">SUMPRODUCT($U133:$U135,Y133:Y135)</f>
        <v>0</v>
      </c>
      <c r="Z136" s="261">
        <f t="shared" ca="1" si="60"/>
        <v>195</v>
      </c>
      <c r="AA136" s="261">
        <f t="shared" ca="1" si="60"/>
        <v>0</v>
      </c>
      <c r="AB136" s="261">
        <f t="shared" ca="1" si="60"/>
        <v>75</v>
      </c>
      <c r="AC136" s="261">
        <f t="shared" ca="1" si="60"/>
        <v>125</v>
      </c>
      <c r="AD136" s="261">
        <f t="shared" ca="1" si="60"/>
        <v>0</v>
      </c>
      <c r="AE136" s="261">
        <f t="shared" ca="1" si="60"/>
        <v>0</v>
      </c>
      <c r="AF136" s="261">
        <f t="shared" ca="1" si="60"/>
        <v>0</v>
      </c>
      <c r="AG136" s="261">
        <f t="shared" ca="1" si="60"/>
        <v>0</v>
      </c>
      <c r="AH136" s="261">
        <f t="shared" ca="1" si="60"/>
        <v>0</v>
      </c>
      <c r="AI136" s="261">
        <f t="shared" ca="1" si="60"/>
        <v>0</v>
      </c>
      <c r="AJ136" s="261">
        <f t="shared" ca="1" si="60"/>
        <v>0</v>
      </c>
      <c r="AK136" s="261">
        <f t="shared" ca="1" si="60"/>
        <v>0</v>
      </c>
      <c r="AL136" s="261">
        <f t="shared" ca="1" si="60"/>
        <v>0</v>
      </c>
      <c r="AM136" s="140"/>
      <c r="AN136" s="234">
        <f t="shared" ca="1" si="59"/>
        <v>395</v>
      </c>
      <c r="AO136" s="308"/>
      <c r="AP136" s="234">
        <f ca="1">SUM(AP133:AP135)</f>
        <v>395</v>
      </c>
      <c r="AQ136" s="260">
        <f t="shared" ca="1" si="37"/>
        <v>0</v>
      </c>
    </row>
    <row r="137" spans="1:43" hidden="1" outlineLevel="1" x14ac:dyDescent="0.3">
      <c r="C137"/>
      <c r="D137" s="139"/>
      <c r="E137" s="128"/>
      <c r="L137" s="27"/>
      <c r="M137" s="27"/>
      <c r="N137" s="27"/>
      <c r="Q137" s="27"/>
      <c r="R137" s="274"/>
      <c r="T137" s="274"/>
      <c r="V137" s="26"/>
      <c r="X137" s="26"/>
      <c r="Y137" s="26"/>
      <c r="AQ137" s="260">
        <f t="shared" si="37"/>
        <v>0</v>
      </c>
    </row>
    <row r="138" spans="1:43" hidden="1" outlineLevel="1" x14ac:dyDescent="0.3">
      <c r="A138" s="26" t="s">
        <v>574</v>
      </c>
      <c r="B138" s="26" t="s">
        <v>194</v>
      </c>
      <c r="C138" s="27">
        <v>1</v>
      </c>
      <c r="D138" s="129" t="s">
        <v>707</v>
      </c>
      <c r="E138" s="288" t="s">
        <v>560</v>
      </c>
      <c r="F138" s="245"/>
      <c r="G138" s="245"/>
      <c r="H138" s="245"/>
      <c r="I138" s="245"/>
      <c r="J138" s="245"/>
      <c r="K138" s="245"/>
      <c r="L138" s="27"/>
      <c r="M138" s="27"/>
      <c r="N138" s="27"/>
      <c r="O138" s="245"/>
      <c r="P138" s="58">
        <v>1950</v>
      </c>
      <c r="Q138" s="233">
        <f>P138</f>
        <v>1950</v>
      </c>
      <c r="R138" s="275">
        <f xml:space="preserve"> 10^(LOG(Q138/P138)/LOG(Q$6/P$6)-1)</f>
        <v>0.1</v>
      </c>
      <c r="S138" s="32">
        <f ca="1">P138*(10*R138)^LOG(wing_area/ref_wing_area)</f>
        <v>1950</v>
      </c>
      <c r="T138" s="396">
        <v>0.1</v>
      </c>
      <c r="U138" s="32">
        <f ca="1">S138*(10*T138)^LOG(Q_prototype)</f>
        <v>1950</v>
      </c>
      <c r="V138" s="26"/>
      <c r="W138" s="26" t="s">
        <v>704</v>
      </c>
      <c r="X138" s="26"/>
      <c r="Y138" s="413"/>
      <c r="Z138" s="413"/>
      <c r="AA138" s="417">
        <f>1/6</f>
        <v>0.16666666666666666</v>
      </c>
      <c r="AB138" s="417">
        <f>1/6</f>
        <v>0.16666666666666666</v>
      </c>
      <c r="AC138" s="417">
        <f>1/6</f>
        <v>0.16666666666666666</v>
      </c>
      <c r="AD138" s="417">
        <f>1/2</f>
        <v>0.5</v>
      </c>
      <c r="AE138" s="413"/>
      <c r="AF138" s="413"/>
      <c r="AG138" s="413"/>
      <c r="AH138" s="413"/>
      <c r="AI138" s="413"/>
      <c r="AJ138" s="413"/>
      <c r="AK138" s="413"/>
      <c r="AL138" s="413"/>
      <c r="AM138" s="193"/>
      <c r="AN138" s="408">
        <f t="shared" si="59"/>
        <v>1</v>
      </c>
      <c r="AO138" s="251"/>
      <c r="AP138" s="32">
        <f ca="1">U138*AN138</f>
        <v>1950</v>
      </c>
      <c r="AQ138" s="260">
        <f t="shared" ca="1" si="37"/>
        <v>0</v>
      </c>
    </row>
    <row r="139" spans="1:43" hidden="1" outlineLevel="1" x14ac:dyDescent="0.3">
      <c r="A139" s="26" t="s">
        <v>574</v>
      </c>
      <c r="B139" s="26" t="s">
        <v>194</v>
      </c>
      <c r="C139" s="27">
        <v>1</v>
      </c>
      <c r="D139" s="129" t="s">
        <v>707</v>
      </c>
      <c r="E139" s="288" t="s">
        <v>561</v>
      </c>
      <c r="F139" s="245"/>
      <c r="G139" s="245"/>
      <c r="H139" s="245"/>
      <c r="I139" s="245"/>
      <c r="J139" s="245"/>
      <c r="K139" s="245"/>
      <c r="L139" s="27"/>
      <c r="M139" s="27"/>
      <c r="N139" s="27"/>
      <c r="O139" s="245"/>
      <c r="P139" s="58">
        <v>225</v>
      </c>
      <c r="Q139" s="58">
        <v>325</v>
      </c>
      <c r="R139" s="275">
        <f xml:space="preserve"> 10^(LOG(Q139/P139)/LOG(Q$6/P$6)-1)</f>
        <v>0.2519526269079097</v>
      </c>
      <c r="S139" s="32">
        <f ca="1">P139*(10*R139)^LOG(wing_area/ref_wing_area)</f>
        <v>117.94313062606042</v>
      </c>
      <c r="T139" s="396">
        <v>0.1</v>
      </c>
      <c r="U139" s="32">
        <f ca="1">S139*(10*T139)^LOG(Q_prototype)</f>
        <v>117.94313062606042</v>
      </c>
      <c r="V139" s="26"/>
      <c r="W139" s="26" t="s">
        <v>704</v>
      </c>
      <c r="X139" s="26"/>
      <c r="Y139" s="413"/>
      <c r="Z139" s="413"/>
      <c r="AA139" s="413"/>
      <c r="AB139" s="413"/>
      <c r="AC139" s="413"/>
      <c r="AD139" s="415">
        <v>1</v>
      </c>
      <c r="AE139" s="413"/>
      <c r="AF139" s="413"/>
      <c r="AG139" s="413"/>
      <c r="AH139" s="413"/>
      <c r="AI139" s="413"/>
      <c r="AJ139" s="413"/>
      <c r="AK139" s="413"/>
      <c r="AL139" s="413"/>
      <c r="AM139" s="193"/>
      <c r="AN139" s="408">
        <f t="shared" si="59"/>
        <v>1</v>
      </c>
      <c r="AO139" s="251"/>
      <c r="AP139" s="32">
        <f ca="1">U139*AN139</f>
        <v>117.94313062606042</v>
      </c>
      <c r="AQ139" s="260">
        <f t="shared" ca="1" si="37"/>
        <v>0</v>
      </c>
    </row>
    <row r="140" spans="1:43" hidden="1" outlineLevel="1" x14ac:dyDescent="0.3">
      <c r="A140" s="26" t="s">
        <v>574</v>
      </c>
      <c r="B140" s="26" t="s">
        <v>194</v>
      </c>
      <c r="C140" s="27">
        <v>1</v>
      </c>
      <c r="D140" s="129" t="s">
        <v>707</v>
      </c>
      <c r="E140" s="320" t="s">
        <v>562</v>
      </c>
      <c r="F140" s="141"/>
      <c r="G140" s="141"/>
      <c r="H140" s="141"/>
      <c r="I140" s="141"/>
      <c r="J140" s="141"/>
      <c r="K140" s="141"/>
      <c r="L140" s="188"/>
      <c r="M140" s="188"/>
      <c r="N140" s="188"/>
      <c r="O140" s="141"/>
      <c r="P140" s="292">
        <v>100</v>
      </c>
      <c r="Q140" s="319">
        <f>P140</f>
        <v>100</v>
      </c>
      <c r="R140" s="321">
        <f xml:space="preserve"> 10^(LOG(Q140/P140)/LOG(Q$6/P$6)-1)</f>
        <v>0.1</v>
      </c>
      <c r="S140" s="265">
        <f ca="1">P140*(10*R140)^LOG(wing_area/ref_wing_area)</f>
        <v>100</v>
      </c>
      <c r="T140" s="397">
        <v>0.1</v>
      </c>
      <c r="U140" s="265">
        <f ca="1">S140*(10*T140)^LOG(Q_prototype)</f>
        <v>100</v>
      </c>
      <c r="V140" s="26"/>
      <c r="W140" s="26" t="s">
        <v>704</v>
      </c>
      <c r="X140" s="26"/>
      <c r="Y140" s="414"/>
      <c r="Z140" s="414"/>
      <c r="AA140" s="414"/>
      <c r="AB140" s="414"/>
      <c r="AC140" s="414"/>
      <c r="AD140" s="416">
        <v>1</v>
      </c>
      <c r="AE140" s="414"/>
      <c r="AF140" s="414"/>
      <c r="AG140" s="414"/>
      <c r="AH140" s="414"/>
      <c r="AI140" s="414"/>
      <c r="AJ140" s="414"/>
      <c r="AK140" s="414"/>
      <c r="AL140" s="414"/>
      <c r="AM140" s="193"/>
      <c r="AN140" s="409">
        <f t="shared" si="59"/>
        <v>1</v>
      </c>
      <c r="AO140" s="399"/>
      <c r="AP140" s="265">
        <f ca="1">U140*AN140</f>
        <v>100</v>
      </c>
      <c r="AQ140" s="260">
        <f t="shared" ca="1" si="37"/>
        <v>0</v>
      </c>
    </row>
    <row r="141" spans="1:43" s="260" customFormat="1" collapsed="1" x14ac:dyDescent="0.3">
      <c r="B141" s="260" t="s">
        <v>194</v>
      </c>
      <c r="C141" s="27">
        <v>2</v>
      </c>
      <c r="D141" s="129" t="s">
        <v>707</v>
      </c>
      <c r="E141" s="279" t="s">
        <v>563</v>
      </c>
      <c r="F141" s="239"/>
      <c r="G141" s="239"/>
      <c r="H141" s="239"/>
      <c r="I141" s="239"/>
      <c r="J141" s="239"/>
      <c r="K141" s="239"/>
      <c r="L141" s="261"/>
      <c r="M141" s="234"/>
      <c r="N141" s="294"/>
      <c r="O141" s="234"/>
      <c r="P141" s="234">
        <f>SUM(P138:P140)</f>
        <v>2275</v>
      </c>
      <c r="Q141" s="234">
        <f>SUM(Q138:Q140)</f>
        <v>2375</v>
      </c>
      <c r="R141" s="235">
        <f xml:space="preserve"> 10^(LOG(Q141/P141)/LOG(Q$6/P$6)-1)</f>
        <v>0.11141593521280849</v>
      </c>
      <c r="S141" s="234">
        <f ca="1">SUM(S138:S140)</f>
        <v>2167.9431306260603</v>
      </c>
      <c r="T141" s="235">
        <f ca="1">IFERROR(10^(LOG(U141/S141)/LOG(Q_prototype)-1),0)</f>
        <v>0.1</v>
      </c>
      <c r="U141" s="234">
        <f ca="1">SUM(U138:U140)</f>
        <v>2167.9431306260603</v>
      </c>
      <c r="V141" s="140"/>
      <c r="W141" s="260" t="s">
        <v>305</v>
      </c>
      <c r="X141" s="140"/>
      <c r="Y141" s="261">
        <f t="shared" ref="Y141:AL141" ca="1" si="61">SUMPRODUCT($U138:$U140,Y138:Y140)</f>
        <v>0</v>
      </c>
      <c r="Z141" s="261">
        <f t="shared" ca="1" si="61"/>
        <v>0</v>
      </c>
      <c r="AA141" s="261">
        <f t="shared" ca="1" si="61"/>
        <v>325</v>
      </c>
      <c r="AB141" s="261">
        <f t="shared" ca="1" si="61"/>
        <v>325</v>
      </c>
      <c r="AC141" s="261">
        <f t="shared" ca="1" si="61"/>
        <v>325</v>
      </c>
      <c r="AD141" s="261">
        <f t="shared" ca="1" si="61"/>
        <v>1192.9431306260603</v>
      </c>
      <c r="AE141" s="261">
        <f t="shared" ca="1" si="61"/>
        <v>0</v>
      </c>
      <c r="AF141" s="261">
        <f t="shared" ca="1" si="61"/>
        <v>0</v>
      </c>
      <c r="AG141" s="261">
        <f t="shared" ca="1" si="61"/>
        <v>0</v>
      </c>
      <c r="AH141" s="261">
        <f t="shared" ca="1" si="61"/>
        <v>0</v>
      </c>
      <c r="AI141" s="261">
        <f t="shared" ca="1" si="61"/>
        <v>0</v>
      </c>
      <c r="AJ141" s="261">
        <f t="shared" ca="1" si="61"/>
        <v>0</v>
      </c>
      <c r="AK141" s="261">
        <f t="shared" ca="1" si="61"/>
        <v>0</v>
      </c>
      <c r="AL141" s="261">
        <f t="shared" ca="1" si="61"/>
        <v>0</v>
      </c>
      <c r="AM141" s="140"/>
      <c r="AN141" s="234">
        <f t="shared" ca="1" si="59"/>
        <v>2167.9431306260603</v>
      </c>
      <c r="AO141" s="308"/>
      <c r="AP141" s="234">
        <f ca="1">SUM(AP138:AP140)</f>
        <v>2167.9431306260603</v>
      </c>
      <c r="AQ141" s="260">
        <f t="shared" ref="AQ141:AQ204" ca="1" si="62">AP141-U141</f>
        <v>0</v>
      </c>
    </row>
    <row r="142" spans="1:43" hidden="1" outlineLevel="1" x14ac:dyDescent="0.3">
      <c r="C142"/>
      <c r="D142" s="139"/>
      <c r="E142" s="128"/>
      <c r="L142" s="27"/>
      <c r="M142" s="27"/>
      <c r="N142" s="27"/>
      <c r="Q142" s="27"/>
      <c r="R142" s="266"/>
      <c r="T142" s="266"/>
      <c r="V142" s="26"/>
      <c r="X142" s="26"/>
      <c r="Y142" s="26"/>
      <c r="AQ142" s="260">
        <f t="shared" si="62"/>
        <v>0</v>
      </c>
    </row>
    <row r="143" spans="1:43" hidden="1" outlineLevel="1" x14ac:dyDescent="0.3">
      <c r="A143" s="26" t="s">
        <v>574</v>
      </c>
      <c r="B143" s="26" t="s">
        <v>194</v>
      </c>
      <c r="C143" s="27">
        <v>1</v>
      </c>
      <c r="D143" s="129" t="s">
        <v>707</v>
      </c>
      <c r="E143" s="287" t="s">
        <v>366</v>
      </c>
      <c r="F143" s="170"/>
      <c r="G143" s="170"/>
      <c r="H143" s="170"/>
      <c r="I143" s="170"/>
      <c r="J143" s="170"/>
      <c r="K143" s="170"/>
      <c r="L143" s="27"/>
      <c r="M143" s="27"/>
      <c r="N143" s="27"/>
      <c r="O143" s="170"/>
      <c r="P143" s="58">
        <v>600</v>
      </c>
      <c r="Q143" s="233">
        <f>P143</f>
        <v>600</v>
      </c>
      <c r="R143" s="275">
        <f xml:space="preserve"> 10^(LOG(Q143/P143)/LOG(Q$6/P$6)-1)</f>
        <v>0.1</v>
      </c>
      <c r="S143" s="32">
        <f ca="1">P143*(10*R143)^LOG(wing_area/ref_wing_area)</f>
        <v>600</v>
      </c>
      <c r="T143" s="396">
        <v>0.1</v>
      </c>
      <c r="U143" s="32">
        <f ca="1">S143*(10*T143)^LOG(Q_prototype)</f>
        <v>600</v>
      </c>
      <c r="V143" s="26"/>
      <c r="W143" s="26" t="s">
        <v>704</v>
      </c>
      <c r="X143" s="26"/>
      <c r="Y143" s="413"/>
      <c r="Z143" s="413"/>
      <c r="AA143" s="413"/>
      <c r="AB143" s="413"/>
      <c r="AC143" s="413"/>
      <c r="AD143" s="413"/>
      <c r="AE143" s="415">
        <v>1</v>
      </c>
      <c r="AF143" s="413"/>
      <c r="AG143" s="413"/>
      <c r="AH143" s="413"/>
      <c r="AI143" s="413"/>
      <c r="AJ143" s="413"/>
      <c r="AK143" s="413"/>
      <c r="AL143" s="413"/>
      <c r="AM143" s="193"/>
      <c r="AN143" s="408">
        <f t="shared" si="59"/>
        <v>1</v>
      </c>
      <c r="AO143" s="251"/>
      <c r="AP143" s="32">
        <f ca="1">U143*AN143</f>
        <v>600</v>
      </c>
      <c r="AQ143" s="260">
        <f t="shared" ca="1" si="62"/>
        <v>0</v>
      </c>
    </row>
    <row r="144" spans="1:43" hidden="1" outlineLevel="1" x14ac:dyDescent="0.3">
      <c r="A144" s="26" t="s">
        <v>574</v>
      </c>
      <c r="B144" s="26" t="s">
        <v>194</v>
      </c>
      <c r="C144" s="27">
        <v>1</v>
      </c>
      <c r="D144" s="129" t="s">
        <v>707</v>
      </c>
      <c r="E144" s="287" t="s">
        <v>367</v>
      </c>
      <c r="F144" s="128"/>
      <c r="G144" s="128"/>
      <c r="H144" s="128"/>
      <c r="I144" s="128"/>
      <c r="J144" s="128"/>
      <c r="K144" s="128"/>
      <c r="L144" s="27"/>
      <c r="M144" s="27"/>
      <c r="N144" s="27"/>
      <c r="O144" s="128"/>
      <c r="P144" s="58">
        <v>300</v>
      </c>
      <c r="Q144" s="233">
        <f>P144</f>
        <v>300</v>
      </c>
      <c r="R144" s="298">
        <f xml:space="preserve"> 10^(LOG(Q144/P144)/LOG(Q$6/P$6)-1)</f>
        <v>0.1</v>
      </c>
      <c r="S144" s="32">
        <f ca="1">P144*(10*R144)^LOG(wing_area/ref_wing_area)</f>
        <v>300</v>
      </c>
      <c r="T144" s="396">
        <v>0.1</v>
      </c>
      <c r="U144" s="32">
        <f ca="1">S144*(10*T144)^LOG(Q_prototype)</f>
        <v>300</v>
      </c>
      <c r="V144" s="26"/>
      <c r="W144" s="26" t="s">
        <v>704</v>
      </c>
      <c r="X144" s="26"/>
      <c r="Y144" s="413"/>
      <c r="Z144" s="413"/>
      <c r="AA144" s="413"/>
      <c r="AB144" s="413"/>
      <c r="AC144" s="413"/>
      <c r="AD144" s="413"/>
      <c r="AE144" s="415">
        <v>1</v>
      </c>
      <c r="AF144" s="413"/>
      <c r="AG144" s="413"/>
      <c r="AH144" s="413"/>
      <c r="AI144" s="413"/>
      <c r="AJ144" s="413"/>
      <c r="AK144" s="413"/>
      <c r="AL144" s="413"/>
      <c r="AM144" s="193"/>
      <c r="AN144" s="408">
        <f t="shared" si="59"/>
        <v>1</v>
      </c>
      <c r="AO144" s="251"/>
      <c r="AP144" s="32">
        <f ca="1">U144*AN144</f>
        <v>300</v>
      </c>
      <c r="AQ144" s="260">
        <f t="shared" ca="1" si="62"/>
        <v>0</v>
      </c>
    </row>
    <row r="145" spans="1:43" hidden="1" outlineLevel="1" x14ac:dyDescent="0.3">
      <c r="A145" s="26" t="s">
        <v>574</v>
      </c>
      <c r="B145" s="26" t="s">
        <v>194</v>
      </c>
      <c r="C145" s="27">
        <v>1</v>
      </c>
      <c r="D145" s="129" t="s">
        <v>707</v>
      </c>
      <c r="E145" s="297" t="s">
        <v>368</v>
      </c>
      <c r="F145" s="141"/>
      <c r="G145" s="141"/>
      <c r="H145" s="141"/>
      <c r="I145" s="141"/>
      <c r="J145" s="141"/>
      <c r="K145" s="141"/>
      <c r="L145" s="188"/>
      <c r="M145" s="188"/>
      <c r="N145" s="188"/>
      <c r="O145" s="141"/>
      <c r="P145" s="292">
        <v>75</v>
      </c>
      <c r="Q145" s="319">
        <f>P145</f>
        <v>75</v>
      </c>
      <c r="R145" s="269">
        <f xml:space="preserve"> 10^(LOG(Q145/P145)/LOG(Q$6/P$6)-1)</f>
        <v>0.1</v>
      </c>
      <c r="S145" s="265">
        <f ca="1">P145*(10*R145)^LOG(wing_area/ref_wing_area)</f>
        <v>75</v>
      </c>
      <c r="T145" s="397">
        <v>0.1</v>
      </c>
      <c r="U145" s="265">
        <f ca="1">S145*(10*T145)^LOG(Q_prototype)</f>
        <v>75</v>
      </c>
      <c r="V145" s="26"/>
      <c r="W145" s="26" t="s">
        <v>704</v>
      </c>
      <c r="X145" s="26"/>
      <c r="Y145" s="414"/>
      <c r="Z145" s="414"/>
      <c r="AA145" s="414"/>
      <c r="AB145" s="414"/>
      <c r="AC145" s="414"/>
      <c r="AD145" s="414"/>
      <c r="AE145" s="416">
        <v>1</v>
      </c>
      <c r="AF145" s="414"/>
      <c r="AG145" s="414"/>
      <c r="AH145" s="414"/>
      <c r="AI145" s="414"/>
      <c r="AJ145" s="414"/>
      <c r="AK145" s="414"/>
      <c r="AL145" s="414"/>
      <c r="AM145" s="193"/>
      <c r="AN145" s="409">
        <f t="shared" si="59"/>
        <v>1</v>
      </c>
      <c r="AO145" s="399"/>
      <c r="AP145" s="265">
        <f ca="1">U145*AN145</f>
        <v>75</v>
      </c>
      <c r="AQ145" s="260">
        <f t="shared" ca="1" si="62"/>
        <v>0</v>
      </c>
    </row>
    <row r="146" spans="1:43" s="260" customFormat="1" collapsed="1" x14ac:dyDescent="0.3">
      <c r="B146" s="260" t="s">
        <v>194</v>
      </c>
      <c r="C146" s="27">
        <v>2</v>
      </c>
      <c r="D146" s="129" t="s">
        <v>707</v>
      </c>
      <c r="E146" s="279" t="s">
        <v>298</v>
      </c>
      <c r="F146" s="239"/>
      <c r="G146" s="239"/>
      <c r="H146" s="239"/>
      <c r="I146" s="239"/>
      <c r="J146" s="239"/>
      <c r="K146" s="239"/>
      <c r="L146" s="261"/>
      <c r="M146" s="234"/>
      <c r="N146" s="294"/>
      <c r="O146" s="234"/>
      <c r="P146" s="234">
        <f>SUM(P143:P145)</f>
        <v>975</v>
      </c>
      <c r="Q146" s="234">
        <f>SUM(Q143:Q145)</f>
        <v>975</v>
      </c>
      <c r="R146" s="235">
        <f xml:space="preserve"> 10^(LOG(Q146/P146)/LOG(Q$6/P$6)-1)</f>
        <v>0.1</v>
      </c>
      <c r="S146" s="234">
        <f ca="1">SUM(S143:S145)</f>
        <v>975</v>
      </c>
      <c r="T146" s="235">
        <f ca="1">IFERROR(10^(LOG(U146/S146)/LOG(Q_prototype)-1),0)</f>
        <v>0.1</v>
      </c>
      <c r="U146" s="234">
        <f ca="1">SUM(U143:U145)</f>
        <v>975</v>
      </c>
      <c r="V146" s="140"/>
      <c r="W146" s="260" t="s">
        <v>305</v>
      </c>
      <c r="X146" s="140"/>
      <c r="Y146" s="261">
        <f t="shared" ref="Y146:AL146" ca="1" si="63">SUMPRODUCT($U143:$U145,Y143:Y145)</f>
        <v>0</v>
      </c>
      <c r="Z146" s="261">
        <f t="shared" ca="1" si="63"/>
        <v>0</v>
      </c>
      <c r="AA146" s="261">
        <f t="shared" ca="1" si="63"/>
        <v>0</v>
      </c>
      <c r="AB146" s="261">
        <f t="shared" ca="1" si="63"/>
        <v>0</v>
      </c>
      <c r="AC146" s="261">
        <f t="shared" ca="1" si="63"/>
        <v>0</v>
      </c>
      <c r="AD146" s="261">
        <f t="shared" ca="1" si="63"/>
        <v>0</v>
      </c>
      <c r="AE146" s="261">
        <f t="shared" ca="1" si="63"/>
        <v>975</v>
      </c>
      <c r="AF146" s="261">
        <f t="shared" ca="1" si="63"/>
        <v>0</v>
      </c>
      <c r="AG146" s="261">
        <f t="shared" ca="1" si="63"/>
        <v>0</v>
      </c>
      <c r="AH146" s="261">
        <f t="shared" ca="1" si="63"/>
        <v>0</v>
      </c>
      <c r="AI146" s="261">
        <f t="shared" ca="1" si="63"/>
        <v>0</v>
      </c>
      <c r="AJ146" s="261">
        <f t="shared" ca="1" si="63"/>
        <v>0</v>
      </c>
      <c r="AK146" s="261">
        <f t="shared" ca="1" si="63"/>
        <v>0</v>
      </c>
      <c r="AL146" s="261">
        <f t="shared" ca="1" si="63"/>
        <v>0</v>
      </c>
      <c r="AM146" s="140"/>
      <c r="AN146" s="234">
        <f t="shared" ca="1" si="59"/>
        <v>975</v>
      </c>
      <c r="AO146" s="308"/>
      <c r="AP146" s="234">
        <f ca="1">SUM(AP143:AP145)</f>
        <v>975</v>
      </c>
      <c r="AQ146" s="260">
        <f t="shared" ca="1" si="62"/>
        <v>0</v>
      </c>
    </row>
    <row r="147" spans="1:43" hidden="1" outlineLevel="1" x14ac:dyDescent="0.3">
      <c r="C147"/>
      <c r="D147" s="139"/>
      <c r="E147" s="128"/>
      <c r="L147" s="27"/>
      <c r="M147" s="27"/>
      <c r="N147" s="27"/>
      <c r="Q147" s="27"/>
      <c r="R147" s="192"/>
      <c r="T147" s="192"/>
      <c r="V147" s="26"/>
      <c r="X147" s="26"/>
      <c r="Y147" s="26"/>
      <c r="AQ147" s="260">
        <f t="shared" si="62"/>
        <v>0</v>
      </c>
    </row>
    <row r="148" spans="1:43" hidden="1" outlineLevel="1" x14ac:dyDescent="0.3">
      <c r="A148" s="26" t="s">
        <v>376</v>
      </c>
      <c r="B148" s="26" t="s">
        <v>194</v>
      </c>
      <c r="C148" s="27">
        <v>1</v>
      </c>
      <c r="D148" s="129" t="s">
        <v>707</v>
      </c>
      <c r="E148" s="287" t="s">
        <v>371</v>
      </c>
      <c r="F148" s="170"/>
      <c r="G148" s="170"/>
      <c r="H148" s="170"/>
      <c r="I148" s="170"/>
      <c r="J148" s="170"/>
      <c r="K148" s="170"/>
      <c r="L148" s="27"/>
      <c r="M148" s="27"/>
      <c r="N148" s="27"/>
      <c r="O148" s="170"/>
      <c r="P148" s="322">
        <v>1090</v>
      </c>
      <c r="Q148" s="322">
        <v>2090</v>
      </c>
      <c r="R148" s="275">
        <f xml:space="preserve"> 10^(LOG(Q148/P148)/LOG(Q$6/P$6)-1)</f>
        <v>0.51340289746498291</v>
      </c>
      <c r="S148" s="32">
        <f ca="1">P148*(10*R148)^LOG(wing_area/ref_wing_area)</f>
        <v>347.40610508482013</v>
      </c>
      <c r="T148" s="396">
        <v>0.1</v>
      </c>
      <c r="U148" s="32">
        <f ca="1">S148*(10*T148)^LOG(Q_prototype)</f>
        <v>347.40610508482013</v>
      </c>
      <c r="V148" s="26"/>
      <c r="W148" s="26" t="s">
        <v>704</v>
      </c>
      <c r="X148" s="26"/>
      <c r="Y148" s="413"/>
      <c r="Z148" s="413"/>
      <c r="AA148" s="413"/>
      <c r="AB148" s="413"/>
      <c r="AC148" s="413"/>
      <c r="AD148" s="413"/>
      <c r="AE148" s="413"/>
      <c r="AF148" s="417">
        <v>0.1</v>
      </c>
      <c r="AG148" s="417">
        <v>0.9</v>
      </c>
      <c r="AH148" s="413"/>
      <c r="AI148" s="413"/>
      <c r="AJ148" s="413"/>
      <c r="AK148" s="413"/>
      <c r="AL148" s="413"/>
      <c r="AM148" s="193"/>
      <c r="AN148" s="408">
        <f t="shared" si="59"/>
        <v>1</v>
      </c>
      <c r="AO148" s="251"/>
      <c r="AP148" s="32">
        <f ca="1">U148*AN148</f>
        <v>347.40610508482013</v>
      </c>
      <c r="AQ148" s="260">
        <f t="shared" ca="1" si="62"/>
        <v>0</v>
      </c>
    </row>
    <row r="149" spans="1:43" hidden="1" outlineLevel="1" x14ac:dyDescent="0.3">
      <c r="A149" s="26" t="s">
        <v>376</v>
      </c>
      <c r="B149" s="26" t="s">
        <v>194</v>
      </c>
      <c r="C149" s="27">
        <v>1</v>
      </c>
      <c r="D149" s="129" t="s">
        <v>707</v>
      </c>
      <c r="E149" s="297" t="s">
        <v>568</v>
      </c>
      <c r="F149" s="295"/>
      <c r="G149" s="295"/>
      <c r="H149" s="295"/>
      <c r="I149" s="295"/>
      <c r="J149" s="295"/>
      <c r="K149" s="295"/>
      <c r="L149" s="188"/>
      <c r="M149" s="188"/>
      <c r="N149" s="188"/>
      <c r="O149" s="295"/>
      <c r="P149" s="323">
        <v>665</v>
      </c>
      <c r="Q149" s="323">
        <v>915</v>
      </c>
      <c r="R149" s="321">
        <f xml:space="preserve"> 10^(LOG(Q149/P149)/LOG(Q$6/P$6)-1)</f>
        <v>0.22299355943237764</v>
      </c>
      <c r="S149" s="265">
        <f ca="1">P149*(10*R149)^LOG(wing_area/ref_wing_area)</f>
        <v>379.64331855815635</v>
      </c>
      <c r="T149" s="397">
        <v>0.1</v>
      </c>
      <c r="U149" s="265">
        <f ca="1">S149*(10*T149)^LOG(Q_prototype)</f>
        <v>379.64331855815635</v>
      </c>
      <c r="V149" s="26"/>
      <c r="W149" s="26" t="s">
        <v>704</v>
      </c>
      <c r="X149" s="26"/>
      <c r="Y149" s="414"/>
      <c r="Z149" s="414"/>
      <c r="AA149" s="414"/>
      <c r="AB149" s="414"/>
      <c r="AC149" s="414"/>
      <c r="AD149" s="414"/>
      <c r="AE149" s="414"/>
      <c r="AF149" s="418">
        <v>0.1</v>
      </c>
      <c r="AG149" s="418">
        <v>0.9</v>
      </c>
      <c r="AH149" s="414"/>
      <c r="AI149" s="414"/>
      <c r="AJ149" s="414"/>
      <c r="AK149" s="414"/>
      <c r="AL149" s="414"/>
      <c r="AM149" s="193"/>
      <c r="AN149" s="409">
        <f t="shared" si="59"/>
        <v>1</v>
      </c>
      <c r="AO149" s="399"/>
      <c r="AP149" s="265">
        <f ca="1">U149*AN149</f>
        <v>379.64331855815635</v>
      </c>
      <c r="AQ149" s="260">
        <f t="shared" ca="1" si="62"/>
        <v>0</v>
      </c>
    </row>
    <row r="150" spans="1:43" s="260" customFormat="1" collapsed="1" x14ac:dyDescent="0.3">
      <c r="A150" s="26"/>
      <c r="B150" s="26" t="s">
        <v>194</v>
      </c>
      <c r="C150" s="27">
        <v>2</v>
      </c>
      <c r="D150" s="129" t="s">
        <v>707</v>
      </c>
      <c r="E150" s="279" t="s">
        <v>299</v>
      </c>
      <c r="F150" s="239"/>
      <c r="G150" s="239"/>
      <c r="H150" s="239"/>
      <c r="I150" s="239"/>
      <c r="J150" s="239"/>
      <c r="K150" s="239"/>
      <c r="L150" s="261"/>
      <c r="M150" s="234"/>
      <c r="N150" s="294"/>
      <c r="O150" s="234"/>
      <c r="P150" s="234">
        <f>SUM(P148:P149)</f>
        <v>1755</v>
      </c>
      <c r="Q150" s="234">
        <f>SUM(Q148:Q149)</f>
        <v>3005</v>
      </c>
      <c r="R150" s="235">
        <f xml:space="preserve"> 10^(LOG(Q150/P150)/LOG(Q$6/P$6)-1)</f>
        <v>0.38631460101414133</v>
      </c>
      <c r="S150" s="234">
        <f ca="1">SUM(S148:S149)</f>
        <v>727.04942364297654</v>
      </c>
      <c r="T150" s="235">
        <f ca="1">IFERROR(10^(LOG(U150/S150)/LOG(Q_prototype)-1),0)</f>
        <v>0.1</v>
      </c>
      <c r="U150" s="234">
        <f ca="1">SUM(U148:U149)</f>
        <v>727.04942364297654</v>
      </c>
      <c r="V150" s="140"/>
      <c r="W150" s="260" t="s">
        <v>305</v>
      </c>
      <c r="X150" s="140"/>
      <c r="Y150" s="261">
        <f t="shared" ref="Y150:AL150" ca="1" si="64">SUMPRODUCT($U148:$U149,Y148:Y149)</f>
        <v>0</v>
      </c>
      <c r="Z150" s="261">
        <f t="shared" ca="1" si="64"/>
        <v>0</v>
      </c>
      <c r="AA150" s="261">
        <f t="shared" ca="1" si="64"/>
        <v>0</v>
      </c>
      <c r="AB150" s="261">
        <f t="shared" ca="1" si="64"/>
        <v>0</v>
      </c>
      <c r="AC150" s="261">
        <f t="shared" ca="1" si="64"/>
        <v>0</v>
      </c>
      <c r="AD150" s="261">
        <f t="shared" ca="1" si="64"/>
        <v>0</v>
      </c>
      <c r="AE150" s="261">
        <f t="shared" ca="1" si="64"/>
        <v>0</v>
      </c>
      <c r="AF150" s="261">
        <f t="shared" ca="1" si="64"/>
        <v>72.704942364297651</v>
      </c>
      <c r="AG150" s="261">
        <f t="shared" ca="1" si="64"/>
        <v>654.34448127867881</v>
      </c>
      <c r="AH150" s="261">
        <f t="shared" ca="1" si="64"/>
        <v>0</v>
      </c>
      <c r="AI150" s="261">
        <f t="shared" ca="1" si="64"/>
        <v>0</v>
      </c>
      <c r="AJ150" s="261">
        <f t="shared" ca="1" si="64"/>
        <v>0</v>
      </c>
      <c r="AK150" s="261">
        <f t="shared" ca="1" si="64"/>
        <v>0</v>
      </c>
      <c r="AL150" s="261">
        <f t="shared" ca="1" si="64"/>
        <v>0</v>
      </c>
      <c r="AM150" s="140"/>
      <c r="AN150" s="234">
        <f t="shared" ca="1" si="59"/>
        <v>727.04942364297642</v>
      </c>
      <c r="AO150" s="308"/>
      <c r="AP150" s="234">
        <f ca="1">SUM(AP148:AP149)</f>
        <v>727.04942364297654</v>
      </c>
      <c r="AQ150" s="260">
        <f t="shared" ca="1" si="62"/>
        <v>0</v>
      </c>
    </row>
    <row r="151" spans="1:43" hidden="1" outlineLevel="1" x14ac:dyDescent="0.3">
      <c r="C151"/>
      <c r="D151" s="139"/>
      <c r="E151" s="43"/>
      <c r="F151"/>
      <c r="G151"/>
      <c r="H151"/>
      <c r="I151"/>
      <c r="J151"/>
      <c r="K151"/>
      <c r="L151" s="27"/>
      <c r="M151" s="27"/>
      <c r="N151" s="27"/>
      <c r="O151"/>
      <c r="P151"/>
      <c r="Q151"/>
      <c r="R151" s="76"/>
      <c r="S151" s="32"/>
      <c r="T151" s="76"/>
      <c r="U151" s="32"/>
      <c r="V151"/>
      <c r="X151"/>
      <c r="Y151" s="139"/>
      <c r="Z151" s="139"/>
      <c r="AA151" s="139"/>
      <c r="AB151" s="139"/>
      <c r="AC151" s="139"/>
      <c r="AD151" s="139"/>
      <c r="AE151" s="139"/>
      <c r="AF151" s="139"/>
      <c r="AG151" s="139"/>
      <c r="AH151" s="139"/>
      <c r="AI151" s="139"/>
      <c r="AJ151" s="139"/>
      <c r="AK151" s="139"/>
      <c r="AL151" s="139"/>
      <c r="AO151" s="251"/>
      <c r="AP151" s="32"/>
      <c r="AQ151" s="260">
        <f t="shared" si="62"/>
        <v>0</v>
      </c>
    </row>
    <row r="152" spans="1:43" hidden="1" outlineLevel="1" x14ac:dyDescent="0.3">
      <c r="A152" s="26" t="s">
        <v>577</v>
      </c>
      <c r="B152" s="26" t="s">
        <v>194</v>
      </c>
      <c r="C152" s="27">
        <v>1</v>
      </c>
      <c r="D152" s="129" t="s">
        <v>707</v>
      </c>
      <c r="E152" s="128" t="s">
        <v>377</v>
      </c>
      <c r="F152" s="128"/>
      <c r="G152" s="128"/>
      <c r="H152" s="128"/>
      <c r="I152" s="128"/>
      <c r="J152" s="128"/>
      <c r="K152" s="128"/>
      <c r="L152" s="27"/>
      <c r="M152" s="27"/>
      <c r="N152" s="27"/>
      <c r="O152" s="128"/>
      <c r="P152" s="58">
        <v>75</v>
      </c>
      <c r="Q152" s="58">
        <v>90</v>
      </c>
      <c r="R152" s="298">
        <f xml:space="preserve"> 10^(LOG(Q152/P152)/LOG(Q$6/P$6)-1)</f>
        <v>0.15811673821465591</v>
      </c>
      <c r="S152" s="32">
        <f ca="1">P152*(10*R152)^LOG(wing_area/ref_wing_area)</f>
        <v>54.447973077586902</v>
      </c>
      <c r="T152" s="396">
        <v>0.1</v>
      </c>
      <c r="U152" s="32">
        <f ca="1">S152*(10*T152)^LOG(Q_prototype)</f>
        <v>54.447973077586902</v>
      </c>
      <c r="V152" s="26"/>
      <c r="W152" s="26" t="s">
        <v>704</v>
      </c>
      <c r="X152" s="26"/>
      <c r="Y152" s="413"/>
      <c r="Z152" s="413"/>
      <c r="AA152" s="413"/>
      <c r="AB152" s="413"/>
      <c r="AC152" s="413"/>
      <c r="AD152" s="413"/>
      <c r="AE152" s="413"/>
      <c r="AF152" s="413"/>
      <c r="AG152" s="413"/>
      <c r="AH152" s="415">
        <v>1</v>
      </c>
      <c r="AI152" s="413"/>
      <c r="AJ152" s="413"/>
      <c r="AK152" s="413"/>
      <c r="AL152" s="413"/>
      <c r="AM152" s="193"/>
      <c r="AN152" s="408">
        <f t="shared" si="59"/>
        <v>1</v>
      </c>
      <c r="AO152" s="251"/>
      <c r="AP152" s="32">
        <f ca="1">U152*AN152</f>
        <v>54.447973077586902</v>
      </c>
      <c r="AQ152" s="260">
        <f t="shared" ca="1" si="62"/>
        <v>0</v>
      </c>
    </row>
    <row r="153" spans="1:43" hidden="1" outlineLevel="1" x14ac:dyDescent="0.3">
      <c r="A153" s="26" t="s">
        <v>577</v>
      </c>
      <c r="B153" s="26" t="s">
        <v>194</v>
      </c>
      <c r="C153" s="27">
        <v>1</v>
      </c>
      <c r="D153" s="129" t="s">
        <v>707</v>
      </c>
      <c r="E153" s="141" t="s">
        <v>378</v>
      </c>
      <c r="F153" s="141"/>
      <c r="G153" s="141"/>
      <c r="H153" s="141"/>
      <c r="I153" s="141"/>
      <c r="J153" s="141"/>
      <c r="K153" s="141"/>
      <c r="L153" s="188"/>
      <c r="M153" s="188"/>
      <c r="N153" s="188"/>
      <c r="O153" s="141"/>
      <c r="P153" s="292">
        <v>150</v>
      </c>
      <c r="Q153" s="292">
        <v>175</v>
      </c>
      <c r="R153" s="269">
        <f xml:space="preserve"> 10^(LOG(Q153/P153)/LOG(Q$6/P$6)-1)</f>
        <v>0.14731038762547188</v>
      </c>
      <c r="S153" s="265">
        <f ca="1">P153*(10*R153)^LOG(wing_area/ref_wing_area)</f>
        <v>114.41979836298037</v>
      </c>
      <c r="T153" s="397">
        <v>0.1</v>
      </c>
      <c r="U153" s="265">
        <f ca="1">S153*(10*T153)^LOG(Q_prototype)</f>
        <v>114.41979836298037</v>
      </c>
      <c r="V153" s="26"/>
      <c r="W153" s="26" t="s">
        <v>704</v>
      </c>
      <c r="X153" s="26"/>
      <c r="Y153" s="414"/>
      <c r="Z153" s="414"/>
      <c r="AA153" s="414"/>
      <c r="AB153" s="414"/>
      <c r="AC153" s="414"/>
      <c r="AD153" s="414"/>
      <c r="AE153" s="414"/>
      <c r="AF153" s="414"/>
      <c r="AG153" s="414"/>
      <c r="AH153" s="416">
        <v>1</v>
      </c>
      <c r="AI153" s="414"/>
      <c r="AJ153" s="414"/>
      <c r="AK153" s="414"/>
      <c r="AL153" s="414"/>
      <c r="AM153" s="193"/>
      <c r="AN153" s="409">
        <f t="shared" si="59"/>
        <v>1</v>
      </c>
      <c r="AO153" s="399"/>
      <c r="AP153" s="265">
        <f ca="1">U153*AN153</f>
        <v>114.41979836298037</v>
      </c>
      <c r="AQ153" s="260">
        <f t="shared" ca="1" si="62"/>
        <v>0</v>
      </c>
    </row>
    <row r="154" spans="1:43" s="260" customFormat="1" collapsed="1" x14ac:dyDescent="0.3">
      <c r="B154" s="260" t="s">
        <v>194</v>
      </c>
      <c r="C154" s="27">
        <v>2</v>
      </c>
      <c r="D154" s="129" t="s">
        <v>707</v>
      </c>
      <c r="E154" s="279" t="s">
        <v>570</v>
      </c>
      <c r="F154" s="239"/>
      <c r="G154" s="239"/>
      <c r="H154" s="239"/>
      <c r="I154" s="239"/>
      <c r="J154" s="239"/>
      <c r="K154" s="239"/>
      <c r="L154" s="261"/>
      <c r="M154" s="234"/>
      <c r="N154" s="294"/>
      <c r="O154" s="234"/>
      <c r="P154" s="234">
        <f>SUM(P152:P153)</f>
        <v>225</v>
      </c>
      <c r="Q154" s="234">
        <f>SUM(Q152:Q153)</f>
        <v>265</v>
      </c>
      <c r="R154" s="235">
        <f xml:space="preserve"> 10^(LOG(Q154/P154)/LOG(Q$6/P$6)-1)</f>
        <v>0.15086137535252686</v>
      </c>
      <c r="S154" s="234">
        <f ca="1">SUM(S152:S153)</f>
        <v>168.86777144056728</v>
      </c>
      <c r="T154" s="235">
        <f ca="1">IFERROR(10^(LOG(U154/S154)/LOG(Q_prototype)-1),0)</f>
        <v>0.1</v>
      </c>
      <c r="U154" s="234">
        <f ca="1">SUM(U152:U153)</f>
        <v>168.86777144056728</v>
      </c>
      <c r="V154" s="140"/>
      <c r="W154" s="260" t="s">
        <v>305</v>
      </c>
      <c r="X154" s="140"/>
      <c r="Y154" s="261">
        <f t="shared" ref="Y154:AL154" ca="1" si="65">SUMPRODUCT($U152:$U153,Y152:Y153)</f>
        <v>0</v>
      </c>
      <c r="Z154" s="261">
        <f t="shared" ca="1" si="65"/>
        <v>0</v>
      </c>
      <c r="AA154" s="261">
        <f t="shared" ca="1" si="65"/>
        <v>0</v>
      </c>
      <c r="AB154" s="261">
        <f t="shared" ca="1" si="65"/>
        <v>0</v>
      </c>
      <c r="AC154" s="261">
        <f t="shared" ca="1" si="65"/>
        <v>0</v>
      </c>
      <c r="AD154" s="261">
        <f t="shared" ca="1" si="65"/>
        <v>0</v>
      </c>
      <c r="AE154" s="261">
        <f t="shared" ca="1" si="65"/>
        <v>0</v>
      </c>
      <c r="AF154" s="261">
        <f t="shared" ca="1" si="65"/>
        <v>0</v>
      </c>
      <c r="AG154" s="261">
        <f t="shared" ca="1" si="65"/>
        <v>0</v>
      </c>
      <c r="AH154" s="261">
        <f t="shared" ca="1" si="65"/>
        <v>168.86777144056728</v>
      </c>
      <c r="AI154" s="261">
        <f t="shared" ca="1" si="65"/>
        <v>0</v>
      </c>
      <c r="AJ154" s="261">
        <f t="shared" ca="1" si="65"/>
        <v>0</v>
      </c>
      <c r="AK154" s="261">
        <f t="shared" ca="1" si="65"/>
        <v>0</v>
      </c>
      <c r="AL154" s="261">
        <f t="shared" ca="1" si="65"/>
        <v>0</v>
      </c>
      <c r="AM154" s="140"/>
      <c r="AN154" s="234">
        <f t="shared" ca="1" si="59"/>
        <v>168.86777144056728</v>
      </c>
      <c r="AO154" s="308"/>
      <c r="AP154" s="234">
        <f ca="1">SUM(AP152:AP153)</f>
        <v>168.86777144056728</v>
      </c>
      <c r="AQ154" s="260">
        <f t="shared" ca="1" si="62"/>
        <v>0</v>
      </c>
    </row>
    <row r="155" spans="1:43" hidden="1" outlineLevel="1" x14ac:dyDescent="0.3">
      <c r="C155"/>
      <c r="D155" s="139"/>
      <c r="E155" s="43"/>
      <c r="F155"/>
      <c r="G155"/>
      <c r="H155"/>
      <c r="I155"/>
      <c r="J155"/>
      <c r="K155"/>
      <c r="L155" s="27"/>
      <c r="M155" s="27"/>
      <c r="N155" s="27"/>
      <c r="O155"/>
      <c r="P155"/>
      <c r="Q155"/>
      <c r="R155" s="76"/>
      <c r="S155" s="32"/>
      <c r="T155" s="76"/>
      <c r="U155" s="32"/>
      <c r="V155"/>
      <c r="X155"/>
      <c r="Y155" s="139"/>
      <c r="Z155" s="139"/>
      <c r="AA155" s="139"/>
      <c r="AB155" s="139"/>
      <c r="AC155" s="139"/>
      <c r="AD155" s="139"/>
      <c r="AE155" s="139"/>
      <c r="AF155" s="139"/>
      <c r="AG155" s="139"/>
      <c r="AH155" s="139"/>
      <c r="AI155" s="139"/>
      <c r="AJ155" s="139"/>
      <c r="AK155" s="139"/>
      <c r="AL155" s="139"/>
      <c r="AO155" s="251"/>
      <c r="AP155" s="32"/>
      <c r="AQ155" s="260">
        <f t="shared" si="62"/>
        <v>0</v>
      </c>
    </row>
    <row r="156" spans="1:43" s="260" customFormat="1" collapsed="1" x14ac:dyDescent="0.3">
      <c r="A156" s="348"/>
      <c r="B156" s="260" t="s">
        <v>194</v>
      </c>
      <c r="C156" s="27">
        <v>3</v>
      </c>
      <c r="D156" s="129" t="s">
        <v>707</v>
      </c>
      <c r="E156" s="262" t="s">
        <v>697</v>
      </c>
      <c r="F156" s="262"/>
      <c r="G156" s="262"/>
      <c r="H156" s="262"/>
      <c r="I156" s="262"/>
      <c r="J156" s="262"/>
      <c r="K156" s="262"/>
      <c r="L156" s="229"/>
      <c r="M156" s="229"/>
      <c r="N156" s="229"/>
      <c r="O156" s="229"/>
      <c r="P156" s="229">
        <f>P136+P141+P146+P150+P154</f>
        <v>5625</v>
      </c>
      <c r="Q156" s="229">
        <f>Q136+Q141+Q146+Q150+Q154</f>
        <v>7015</v>
      </c>
      <c r="R156" s="272">
        <f xml:space="preserve"> 10^(LOG(Q156/P156)/LOG(Q$6/P$6)-1)</f>
        <v>0.17418230645679902</v>
      </c>
      <c r="S156" s="229">
        <f ca="1">S136+S141+S146+S150+S154</f>
        <v>4433.8603257096047</v>
      </c>
      <c r="T156" s="405">
        <f ca="1">IFERROR(10^(LOG(U156/S156)/LOG(Q_prototype)-1),0)</f>
        <v>0.1</v>
      </c>
      <c r="U156" s="229">
        <f ca="1">U136+U141+U146+U150+U154</f>
        <v>4433.8603257096047</v>
      </c>
      <c r="V156" s="333"/>
      <c r="W156" s="260" t="s">
        <v>305</v>
      </c>
      <c r="X156" s="333"/>
      <c r="Y156" s="262">
        <f t="shared" ref="Y156:AL156" ca="1" si="66">Y136+Y141+Y146+Y150+Y154</f>
        <v>0</v>
      </c>
      <c r="Z156" s="262">
        <f t="shared" ca="1" si="66"/>
        <v>195</v>
      </c>
      <c r="AA156" s="262">
        <f t="shared" ca="1" si="66"/>
        <v>325</v>
      </c>
      <c r="AB156" s="262">
        <f t="shared" ca="1" si="66"/>
        <v>400</v>
      </c>
      <c r="AC156" s="262">
        <f t="shared" ca="1" si="66"/>
        <v>450</v>
      </c>
      <c r="AD156" s="262">
        <f t="shared" ca="1" si="66"/>
        <v>1192.9431306260603</v>
      </c>
      <c r="AE156" s="262">
        <f t="shared" ca="1" si="66"/>
        <v>975</v>
      </c>
      <c r="AF156" s="262">
        <f t="shared" ca="1" si="66"/>
        <v>72.704942364297651</v>
      </c>
      <c r="AG156" s="262">
        <f t="shared" ca="1" si="66"/>
        <v>654.34448127867881</v>
      </c>
      <c r="AH156" s="262">
        <f t="shared" ca="1" si="66"/>
        <v>168.86777144056728</v>
      </c>
      <c r="AI156" s="262">
        <f t="shared" ca="1" si="66"/>
        <v>0</v>
      </c>
      <c r="AJ156" s="262">
        <f t="shared" ca="1" si="66"/>
        <v>0</v>
      </c>
      <c r="AK156" s="262">
        <f t="shared" ca="1" si="66"/>
        <v>0</v>
      </c>
      <c r="AL156" s="341">
        <f t="shared" ca="1" si="66"/>
        <v>0</v>
      </c>
      <c r="AM156" s="338"/>
      <c r="AN156" s="229">
        <f t="shared" ca="1" si="59"/>
        <v>4433.8603257096038</v>
      </c>
      <c r="AO156" s="314"/>
      <c r="AP156" s="229"/>
      <c r="AQ156" s="260">
        <f t="shared" ca="1" si="62"/>
        <v>-4433.8603257096047</v>
      </c>
    </row>
    <row r="157" spans="1:43" x14ac:dyDescent="0.3">
      <c r="C157"/>
      <c r="D157" s="139"/>
      <c r="L157" s="27"/>
      <c r="M157" s="27"/>
      <c r="N157" s="27"/>
      <c r="O157" s="27"/>
      <c r="Q157" s="27"/>
      <c r="R157" s="266"/>
      <c r="T157" s="266"/>
      <c r="V157" s="26"/>
      <c r="X157" s="26"/>
      <c r="Y157" s="26"/>
      <c r="AQ157" s="260">
        <f t="shared" si="62"/>
        <v>0</v>
      </c>
    </row>
    <row r="158" spans="1:43" ht="16.5" hidden="1" outlineLevel="1" x14ac:dyDescent="0.3">
      <c r="B158" s="26" t="s">
        <v>199</v>
      </c>
      <c r="C158" s="27">
        <v>9</v>
      </c>
      <c r="D158" s="129" t="s">
        <v>695</v>
      </c>
      <c r="E158" s="289" t="s">
        <v>585</v>
      </c>
      <c r="F158" s="169"/>
      <c r="G158" s="169"/>
      <c r="L158" s="27"/>
      <c r="M158" s="27"/>
      <c r="N158" s="27"/>
      <c r="O158" s="27"/>
      <c r="P158" s="26"/>
      <c r="Q158" s="26"/>
      <c r="R158" s="266"/>
      <c r="T158" s="266"/>
      <c r="V158"/>
      <c r="X158"/>
      <c r="Y158" s="26"/>
      <c r="AQ158" s="458">
        <f ca="1">AP158-U158*(1+employer_contributions)*average_wage</f>
        <v>0</v>
      </c>
    </row>
    <row r="159" spans="1:43" hidden="1" outlineLevel="1" x14ac:dyDescent="0.3">
      <c r="A159" s="26" t="s">
        <v>574</v>
      </c>
      <c r="B159" s="26" t="s">
        <v>199</v>
      </c>
      <c r="C159" s="27">
        <v>1</v>
      </c>
      <c r="D159" s="129" t="s">
        <v>695</v>
      </c>
      <c r="E159" s="293" t="s">
        <v>380</v>
      </c>
      <c r="F159" s="293"/>
      <c r="G159" s="128"/>
      <c r="H159" s="128"/>
      <c r="I159" s="128"/>
      <c r="J159" s="128"/>
      <c r="K159" s="128"/>
      <c r="L159" s="27"/>
      <c r="M159" s="27"/>
      <c r="N159" s="27"/>
      <c r="O159" s="128"/>
      <c r="P159" s="243">
        <v>1</v>
      </c>
      <c r="Q159" s="326">
        <f>P159</f>
        <v>1</v>
      </c>
      <c r="R159" s="298">
        <f>IFERROR(10^(LOG(Q159/P159)/LOG(Q$6/P$6)-1),0)</f>
        <v>0.1</v>
      </c>
      <c r="S159" s="251">
        <f ca="1">P159*(10*R159)^LOG(wing_area/ref_wing_area)</f>
        <v>1</v>
      </c>
      <c r="T159" s="396">
        <v>0.1</v>
      </c>
      <c r="U159" s="251">
        <f ca="1">S159*(10*T159)^LOG(Q_prototype)</f>
        <v>1</v>
      </c>
      <c r="V159"/>
      <c r="W159" s="26" t="s">
        <v>704</v>
      </c>
      <c r="X159"/>
      <c r="Y159" s="413"/>
      <c r="Z159" s="415">
        <v>1</v>
      </c>
      <c r="AA159" s="413"/>
      <c r="AB159" s="413"/>
      <c r="AC159" s="413"/>
      <c r="AD159" s="413"/>
      <c r="AE159" s="413"/>
      <c r="AF159" s="413"/>
      <c r="AG159" s="413"/>
      <c r="AH159" s="413"/>
      <c r="AI159" s="413"/>
      <c r="AJ159" s="413"/>
      <c r="AK159" s="413"/>
      <c r="AL159" s="413"/>
      <c r="AM159" s="193"/>
      <c r="AN159" s="408">
        <f t="shared" si="59"/>
        <v>1</v>
      </c>
      <c r="AO159" s="251">
        <f ca="1">AN159*U159</f>
        <v>1</v>
      </c>
      <c r="AP159" s="251">
        <f ca="1">AO159*average_wage*(1+employer_contributions)</f>
        <v>60</v>
      </c>
      <c r="AQ159" s="260">
        <f t="shared" ca="1" si="62"/>
        <v>59</v>
      </c>
    </row>
    <row r="160" spans="1:43" hidden="1" outlineLevel="1" x14ac:dyDescent="0.3">
      <c r="A160" s="26" t="s">
        <v>574</v>
      </c>
      <c r="B160" s="26" t="s">
        <v>199</v>
      </c>
      <c r="C160" s="27">
        <v>1</v>
      </c>
      <c r="D160" s="129" t="s">
        <v>695</v>
      </c>
      <c r="E160" s="293" t="s">
        <v>381</v>
      </c>
      <c r="F160" s="293"/>
      <c r="G160" s="128"/>
      <c r="H160" s="128"/>
      <c r="I160" s="128"/>
      <c r="J160" s="128"/>
      <c r="K160" s="128"/>
      <c r="L160" s="27"/>
      <c r="M160" s="27"/>
      <c r="N160" s="27"/>
      <c r="O160" s="128"/>
      <c r="P160" s="243">
        <v>0</v>
      </c>
      <c r="Q160" s="326">
        <f>P160</f>
        <v>0</v>
      </c>
      <c r="R160" s="298">
        <f>IFERROR(10^(LOG(Q160/P160)/LOG(Q$6/P$6)-1),0)</f>
        <v>0</v>
      </c>
      <c r="S160" s="251">
        <f ca="1">IFERROR(P160*(10*R160)^LOG(wing_area/ref_wing_area),0)</f>
        <v>0</v>
      </c>
      <c r="T160" s="396">
        <v>0.1</v>
      </c>
      <c r="U160" s="251">
        <f ca="1">S160*(10*T160)^LOG(Q_prototype)</f>
        <v>0</v>
      </c>
      <c r="V160"/>
      <c r="W160" s="26" t="s">
        <v>704</v>
      </c>
      <c r="X160"/>
      <c r="Y160" s="413"/>
      <c r="Z160" s="413"/>
      <c r="AA160" s="413"/>
      <c r="AB160" s="413"/>
      <c r="AC160" s="413"/>
      <c r="AD160" s="413"/>
      <c r="AE160" s="413"/>
      <c r="AF160" s="413"/>
      <c r="AG160" s="413"/>
      <c r="AH160" s="413"/>
      <c r="AI160" s="413"/>
      <c r="AJ160" s="413"/>
      <c r="AK160" s="413"/>
      <c r="AL160" s="413"/>
      <c r="AM160" s="193"/>
      <c r="AN160" s="408">
        <f t="shared" si="59"/>
        <v>0</v>
      </c>
      <c r="AO160" s="251">
        <f ca="1">AN160*U160</f>
        <v>0</v>
      </c>
      <c r="AP160" s="251">
        <f ca="1">AO160*average_wage*(1+employer_contributions)</f>
        <v>0</v>
      </c>
      <c r="AQ160" s="260">
        <f t="shared" ca="1" si="62"/>
        <v>0</v>
      </c>
    </row>
    <row r="161" spans="1:43" hidden="1" outlineLevel="1" x14ac:dyDescent="0.3">
      <c r="A161" s="26" t="s">
        <v>574</v>
      </c>
      <c r="B161" s="26" t="s">
        <v>199</v>
      </c>
      <c r="C161" s="27">
        <v>1</v>
      </c>
      <c r="D161" s="129" t="s">
        <v>695</v>
      </c>
      <c r="E161" s="293" t="s">
        <v>382</v>
      </c>
      <c r="F161" s="293"/>
      <c r="G161" s="128"/>
      <c r="H161" s="128"/>
      <c r="I161" s="128"/>
      <c r="J161" s="128"/>
      <c r="K161" s="128"/>
      <c r="L161" s="27"/>
      <c r="M161" s="27"/>
      <c r="N161" s="27"/>
      <c r="O161" s="128"/>
      <c r="P161" s="243">
        <v>0</v>
      </c>
      <c r="Q161" s="326">
        <f>P161</f>
        <v>0</v>
      </c>
      <c r="R161" s="298">
        <f>IFERROR(10^(LOG(Q161/P161)/LOG(Q$6/P$6)-1),0)</f>
        <v>0</v>
      </c>
      <c r="S161" s="251">
        <f ca="1">IFERROR(P161*(10*R161)^LOG(wing_area/ref_wing_area),0)</f>
        <v>0</v>
      </c>
      <c r="T161" s="396">
        <v>0.1</v>
      </c>
      <c r="U161" s="251">
        <f ca="1">S161*(10*T161)^LOG(Q_prototype)</f>
        <v>0</v>
      </c>
      <c r="V161"/>
      <c r="W161" s="26" t="s">
        <v>704</v>
      </c>
      <c r="X161"/>
      <c r="Y161" s="413"/>
      <c r="Z161" s="413"/>
      <c r="AA161" s="413"/>
      <c r="AB161" s="413"/>
      <c r="AC161" s="413"/>
      <c r="AD161" s="413"/>
      <c r="AE161" s="413"/>
      <c r="AF161" s="413"/>
      <c r="AG161" s="413"/>
      <c r="AH161" s="413"/>
      <c r="AI161" s="413"/>
      <c r="AJ161" s="413"/>
      <c r="AK161" s="413"/>
      <c r="AL161" s="413"/>
      <c r="AM161" s="193"/>
      <c r="AN161" s="408">
        <f t="shared" si="59"/>
        <v>0</v>
      </c>
      <c r="AO161" s="251">
        <f ca="1">AN161*U161</f>
        <v>0</v>
      </c>
      <c r="AP161" s="251">
        <f ca="1">AO161*average_wage*(1+employer_contributions)</f>
        <v>0</v>
      </c>
      <c r="AQ161" s="260">
        <f t="shared" ca="1" si="62"/>
        <v>0</v>
      </c>
    </row>
    <row r="162" spans="1:43" hidden="1" outlineLevel="1" x14ac:dyDescent="0.3">
      <c r="A162" s="26" t="s">
        <v>574</v>
      </c>
      <c r="B162" s="26" t="s">
        <v>199</v>
      </c>
      <c r="C162" s="27">
        <v>1</v>
      </c>
      <c r="D162" s="129" t="s">
        <v>695</v>
      </c>
      <c r="E162" s="305" t="s">
        <v>383</v>
      </c>
      <c r="F162" s="305"/>
      <c r="G162" s="141"/>
      <c r="H162" s="141"/>
      <c r="I162" s="141"/>
      <c r="J162" s="141"/>
      <c r="K162" s="141"/>
      <c r="L162" s="188"/>
      <c r="M162" s="188"/>
      <c r="N162" s="188"/>
      <c r="O162" s="141"/>
      <c r="P162" s="324">
        <v>1</v>
      </c>
      <c r="Q162" s="327">
        <f>P162</f>
        <v>1</v>
      </c>
      <c r="R162" s="269">
        <f>IFERROR(10^(LOG(Q162/P162)/LOG(Q$6/P$6)-1),0)</f>
        <v>0.1</v>
      </c>
      <c r="S162" s="399">
        <f ca="1">P162*(10*R162)^LOG(wing_area/ref_wing_area)</f>
        <v>1</v>
      </c>
      <c r="T162" s="397">
        <v>0.1</v>
      </c>
      <c r="U162" s="399">
        <f ca="1">S162*(10*T162)^LOG(Q_prototype)</f>
        <v>1</v>
      </c>
      <c r="V162"/>
      <c r="W162" s="26" t="s">
        <v>704</v>
      </c>
      <c r="X162"/>
      <c r="Y162" s="414"/>
      <c r="Z162" s="414"/>
      <c r="AA162" s="416">
        <v>1</v>
      </c>
      <c r="AB162" s="414"/>
      <c r="AC162" s="414"/>
      <c r="AD162" s="414"/>
      <c r="AE162" s="414"/>
      <c r="AF162" s="414"/>
      <c r="AG162" s="414"/>
      <c r="AH162" s="414"/>
      <c r="AI162" s="414"/>
      <c r="AJ162" s="414"/>
      <c r="AK162" s="414"/>
      <c r="AL162" s="414"/>
      <c r="AM162" s="193"/>
      <c r="AN162" s="409">
        <f t="shared" si="59"/>
        <v>1</v>
      </c>
      <c r="AO162" s="399">
        <f ca="1">AN162*U162</f>
        <v>1</v>
      </c>
      <c r="AP162" s="399">
        <f ca="1">AO162*average_wage*(1+employer_contributions)</f>
        <v>60</v>
      </c>
      <c r="AQ162" s="260">
        <f t="shared" ca="1" si="62"/>
        <v>59</v>
      </c>
    </row>
    <row r="163" spans="1:43" s="312" customFormat="1" collapsed="1" x14ac:dyDescent="0.3">
      <c r="A163" s="26" t="s">
        <v>574</v>
      </c>
      <c r="B163" s="26" t="s">
        <v>199</v>
      </c>
      <c r="C163" s="27">
        <v>2</v>
      </c>
      <c r="D163" s="129" t="s">
        <v>695</v>
      </c>
      <c r="E163" s="306" t="s">
        <v>384</v>
      </c>
      <c r="F163" s="307"/>
      <c r="G163" s="307"/>
      <c r="H163" s="307"/>
      <c r="I163" s="307"/>
      <c r="J163" s="307"/>
      <c r="K163" s="307"/>
      <c r="L163" s="310"/>
      <c r="M163" s="308"/>
      <c r="N163" s="309"/>
      <c r="O163" s="308"/>
      <c r="P163" s="308">
        <f>SUM(P159:P162)</f>
        <v>2</v>
      </c>
      <c r="Q163" s="308">
        <f>SUM(Q159:Q162)</f>
        <v>2</v>
      </c>
      <c r="R163" s="235">
        <f xml:space="preserve"> 10^(LOG(Q163/P163)/LOG(Q$6/P$6)-1)</f>
        <v>0.1</v>
      </c>
      <c r="S163" s="308">
        <f ca="1">SUM(S159:S162)</f>
        <v>2</v>
      </c>
      <c r="T163" s="235">
        <f ca="1">IFERROR(10^(LOG(U163/S163)/LOG(Q_prototype)-1),0)</f>
        <v>0.1</v>
      </c>
      <c r="U163" s="308">
        <f ca="1">SUM(U159:U162)</f>
        <v>2</v>
      </c>
      <c r="V163" s="311"/>
      <c r="W163" s="260" t="s">
        <v>690</v>
      </c>
      <c r="X163" s="311"/>
      <c r="Y163" s="310">
        <f t="shared" ref="Y163:AL163" ca="1" si="67">SUMPRODUCT($U159:$U162,Y159:Y162)</f>
        <v>0</v>
      </c>
      <c r="Z163" s="310">
        <f t="shared" ca="1" si="67"/>
        <v>1</v>
      </c>
      <c r="AA163" s="310">
        <f t="shared" ca="1" si="67"/>
        <v>1</v>
      </c>
      <c r="AB163" s="310">
        <f t="shared" ca="1" si="67"/>
        <v>0</v>
      </c>
      <c r="AC163" s="310">
        <f t="shared" ca="1" si="67"/>
        <v>0</v>
      </c>
      <c r="AD163" s="310">
        <f t="shared" ca="1" si="67"/>
        <v>0</v>
      </c>
      <c r="AE163" s="310">
        <f t="shared" ca="1" si="67"/>
        <v>0</v>
      </c>
      <c r="AF163" s="310">
        <f t="shared" ca="1" si="67"/>
        <v>0</v>
      </c>
      <c r="AG163" s="310">
        <f t="shared" ca="1" si="67"/>
        <v>0</v>
      </c>
      <c r="AH163" s="310">
        <f t="shared" ca="1" si="67"/>
        <v>0</v>
      </c>
      <c r="AI163" s="310">
        <f t="shared" ca="1" si="67"/>
        <v>0</v>
      </c>
      <c r="AJ163" s="310">
        <f t="shared" ca="1" si="67"/>
        <v>0</v>
      </c>
      <c r="AK163" s="310">
        <f t="shared" ca="1" si="67"/>
        <v>0</v>
      </c>
      <c r="AL163" s="310">
        <f t="shared" ca="1" si="67"/>
        <v>0</v>
      </c>
      <c r="AM163" s="311"/>
      <c r="AN163" s="308">
        <f t="shared" ca="1" si="59"/>
        <v>2</v>
      </c>
      <c r="AO163" s="308">
        <f ca="1">SUM(AO159:AO162)</f>
        <v>2</v>
      </c>
      <c r="AP163" s="308">
        <f ca="1">SUM(AP159:AP162)</f>
        <v>120</v>
      </c>
      <c r="AQ163" s="458">
        <f ca="1">AP163-U163*(1+employer_contributions)*average_wage</f>
        <v>0</v>
      </c>
    </row>
    <row r="164" spans="1:43" hidden="1" outlineLevel="1" x14ac:dyDescent="0.3">
      <c r="C164"/>
      <c r="D164" s="139"/>
      <c r="E164" s="128"/>
      <c r="L164" s="26"/>
      <c r="M164" s="26"/>
      <c r="N164" s="26"/>
      <c r="P164" s="312"/>
      <c r="Q164" s="312"/>
      <c r="R164" s="266"/>
      <c r="S164" s="311"/>
      <c r="T164" s="266"/>
      <c r="U164" s="311"/>
      <c r="V164" s="26"/>
      <c r="X164" s="26"/>
      <c r="Y164" s="26"/>
      <c r="AP164" s="311"/>
      <c r="AQ164" s="260">
        <f t="shared" si="62"/>
        <v>0</v>
      </c>
    </row>
    <row r="165" spans="1:43" hidden="1" outlineLevel="1" x14ac:dyDescent="0.3">
      <c r="A165" s="26" t="s">
        <v>574</v>
      </c>
      <c r="B165" s="26" t="s">
        <v>199</v>
      </c>
      <c r="C165" s="27">
        <v>1</v>
      </c>
      <c r="D165" s="129" t="s">
        <v>695</v>
      </c>
      <c r="E165" s="286" t="s">
        <v>385</v>
      </c>
      <c r="F165" s="128"/>
      <c r="G165" s="128"/>
      <c r="H165" s="128"/>
      <c r="I165" s="128"/>
      <c r="J165" s="128"/>
      <c r="K165" s="128"/>
      <c r="L165" s="27"/>
      <c r="M165" s="27"/>
      <c r="N165" s="27"/>
      <c r="O165" s="128"/>
      <c r="P165" s="243">
        <v>2</v>
      </c>
      <c r="Q165" s="326">
        <f t="shared" ref="Q165:Q170" si="68">P165</f>
        <v>2</v>
      </c>
      <c r="R165" s="298">
        <f t="shared" ref="R165:R171" si="69" xml:space="preserve"> 10^(LOG(Q165/P165)/LOG(Q$6/P$6)-1)</f>
        <v>0.1</v>
      </c>
      <c r="S165" s="251">
        <f t="shared" ref="S165:S170" ca="1" si="70">P165*(10*R165)^LOG(wing_area/ref_wing_area)</f>
        <v>2</v>
      </c>
      <c r="T165" s="396">
        <v>0.1</v>
      </c>
      <c r="U165" s="251">
        <f t="shared" ref="U165:U170" ca="1" si="71">S165*(10*T165)^LOG(Q_prototype)</f>
        <v>2</v>
      </c>
      <c r="V165"/>
      <c r="W165" s="26" t="s">
        <v>704</v>
      </c>
      <c r="X165"/>
      <c r="Y165" s="413"/>
      <c r="Z165" s="413"/>
      <c r="AA165" s="413"/>
      <c r="AB165" s="415">
        <v>0.5</v>
      </c>
      <c r="AC165" s="415">
        <v>0.5</v>
      </c>
      <c r="AD165" s="413"/>
      <c r="AE165" s="413"/>
      <c r="AF165" s="413"/>
      <c r="AG165" s="413"/>
      <c r="AH165" s="413"/>
      <c r="AI165" s="413"/>
      <c r="AJ165" s="413"/>
      <c r="AK165" s="413"/>
      <c r="AL165" s="413"/>
      <c r="AM165" s="193"/>
      <c r="AN165" s="408">
        <f t="shared" si="59"/>
        <v>1</v>
      </c>
      <c r="AO165" s="251">
        <f t="shared" ref="AO165:AO170" ca="1" si="72">AN165*U165</f>
        <v>2</v>
      </c>
      <c r="AP165" s="251">
        <f t="shared" ref="AP165:AP170" ca="1" si="73">AO165*average_wage*(1+employer_contributions)</f>
        <v>120</v>
      </c>
      <c r="AQ165" s="260">
        <f t="shared" ca="1" si="62"/>
        <v>118</v>
      </c>
    </row>
    <row r="166" spans="1:43" hidden="1" outlineLevel="1" x14ac:dyDescent="0.3">
      <c r="A166" s="26" t="s">
        <v>574</v>
      </c>
      <c r="B166" s="26" t="s">
        <v>199</v>
      </c>
      <c r="C166" s="27">
        <v>1</v>
      </c>
      <c r="D166" s="129" t="s">
        <v>695</v>
      </c>
      <c r="E166" s="286" t="s">
        <v>381</v>
      </c>
      <c r="F166" s="128"/>
      <c r="G166" s="128"/>
      <c r="H166" s="128"/>
      <c r="I166" s="128"/>
      <c r="J166" s="128"/>
      <c r="K166" s="128"/>
      <c r="L166" s="27"/>
      <c r="M166" s="27"/>
      <c r="N166" s="27"/>
      <c r="O166" s="128"/>
      <c r="P166" s="243">
        <v>0.5</v>
      </c>
      <c r="Q166" s="326">
        <f t="shared" si="68"/>
        <v>0.5</v>
      </c>
      <c r="R166" s="298">
        <f t="shared" si="69"/>
        <v>0.1</v>
      </c>
      <c r="S166" s="251">
        <f t="shared" ca="1" si="70"/>
        <v>0.5</v>
      </c>
      <c r="T166" s="396">
        <v>0.1</v>
      </c>
      <c r="U166" s="251">
        <f t="shared" ca="1" si="71"/>
        <v>0.5</v>
      </c>
      <c r="V166"/>
      <c r="W166" s="26" t="s">
        <v>704</v>
      </c>
      <c r="X166"/>
      <c r="Y166" s="413"/>
      <c r="Z166" s="413"/>
      <c r="AA166" s="413"/>
      <c r="AB166" s="415">
        <v>1</v>
      </c>
      <c r="AC166" s="413"/>
      <c r="AD166" s="413"/>
      <c r="AE166" s="413"/>
      <c r="AF166" s="413"/>
      <c r="AG166" s="413"/>
      <c r="AH166" s="413"/>
      <c r="AI166" s="413"/>
      <c r="AJ166" s="413"/>
      <c r="AK166" s="413"/>
      <c r="AL166" s="413"/>
      <c r="AM166" s="193"/>
      <c r="AN166" s="408">
        <f t="shared" si="59"/>
        <v>1</v>
      </c>
      <c r="AO166" s="251">
        <f t="shared" ca="1" si="72"/>
        <v>0.5</v>
      </c>
      <c r="AP166" s="251">
        <f t="shared" ca="1" si="73"/>
        <v>30</v>
      </c>
      <c r="AQ166" s="260">
        <f t="shared" ca="1" si="62"/>
        <v>29.5</v>
      </c>
    </row>
    <row r="167" spans="1:43" hidden="1" outlineLevel="1" x14ac:dyDescent="0.3">
      <c r="A167" s="26" t="s">
        <v>574</v>
      </c>
      <c r="B167" s="26" t="s">
        <v>199</v>
      </c>
      <c r="C167" s="27">
        <v>1</v>
      </c>
      <c r="D167" s="129" t="s">
        <v>695</v>
      </c>
      <c r="E167" s="286" t="s">
        <v>382</v>
      </c>
      <c r="F167" s="128"/>
      <c r="G167" s="128"/>
      <c r="H167" s="128"/>
      <c r="I167" s="128"/>
      <c r="J167" s="128"/>
      <c r="K167" s="128"/>
      <c r="L167" s="27"/>
      <c r="M167" s="27"/>
      <c r="N167" s="27"/>
      <c r="O167" s="128"/>
      <c r="P167" s="243">
        <v>0.5</v>
      </c>
      <c r="Q167" s="326">
        <f t="shared" si="68"/>
        <v>0.5</v>
      </c>
      <c r="R167" s="298">
        <f t="shared" si="69"/>
        <v>0.1</v>
      </c>
      <c r="S167" s="251">
        <f t="shared" ca="1" si="70"/>
        <v>0.5</v>
      </c>
      <c r="T167" s="396">
        <v>0.1</v>
      </c>
      <c r="U167" s="251">
        <f t="shared" ca="1" si="71"/>
        <v>0.5</v>
      </c>
      <c r="V167"/>
      <c r="W167" s="26" t="s">
        <v>704</v>
      </c>
      <c r="X167"/>
      <c r="Y167" s="413"/>
      <c r="Z167" s="413"/>
      <c r="AA167" s="413"/>
      <c r="AB167" s="413"/>
      <c r="AC167" s="415">
        <v>1</v>
      </c>
      <c r="AD167" s="413"/>
      <c r="AE167" s="413"/>
      <c r="AF167" s="413"/>
      <c r="AG167" s="413"/>
      <c r="AH167" s="413"/>
      <c r="AI167" s="413"/>
      <c r="AJ167" s="413"/>
      <c r="AK167" s="413"/>
      <c r="AL167" s="413"/>
      <c r="AM167" s="193"/>
      <c r="AN167" s="408">
        <f t="shared" si="59"/>
        <v>1</v>
      </c>
      <c r="AO167" s="251">
        <f t="shared" ca="1" si="72"/>
        <v>0.5</v>
      </c>
      <c r="AP167" s="251">
        <f t="shared" ca="1" si="73"/>
        <v>30</v>
      </c>
      <c r="AQ167" s="260">
        <f t="shared" ca="1" si="62"/>
        <v>29.5</v>
      </c>
    </row>
    <row r="168" spans="1:43" hidden="1" outlineLevel="1" x14ac:dyDescent="0.3">
      <c r="A168" s="26" t="s">
        <v>574</v>
      </c>
      <c r="B168" s="26" t="s">
        <v>199</v>
      </c>
      <c r="C168" s="27">
        <v>1</v>
      </c>
      <c r="D168" s="129" t="s">
        <v>695</v>
      </c>
      <c r="E168" s="286" t="s">
        <v>386</v>
      </c>
      <c r="F168" s="128"/>
      <c r="G168" s="128"/>
      <c r="H168" s="128"/>
      <c r="I168" s="128"/>
      <c r="J168" s="128"/>
      <c r="K168" s="128"/>
      <c r="L168" s="27"/>
      <c r="M168" s="27"/>
      <c r="N168" s="27"/>
      <c r="O168" s="128"/>
      <c r="P168" s="243">
        <v>2</v>
      </c>
      <c r="Q168" s="326">
        <f t="shared" si="68"/>
        <v>2</v>
      </c>
      <c r="R168" s="298">
        <f t="shared" si="69"/>
        <v>0.1</v>
      </c>
      <c r="S168" s="251">
        <f t="shared" ca="1" si="70"/>
        <v>2</v>
      </c>
      <c r="T168" s="396">
        <v>0.1</v>
      </c>
      <c r="U168" s="251">
        <f t="shared" ca="1" si="71"/>
        <v>2</v>
      </c>
      <c r="V168"/>
      <c r="W168" s="26" t="s">
        <v>704</v>
      </c>
      <c r="X168"/>
      <c r="Y168" s="413"/>
      <c r="Z168" s="413"/>
      <c r="AA168" s="413"/>
      <c r="AB168" s="415">
        <v>0.5</v>
      </c>
      <c r="AC168" s="415">
        <v>0.5</v>
      </c>
      <c r="AD168" s="413"/>
      <c r="AE168" s="413"/>
      <c r="AF168" s="413"/>
      <c r="AG168" s="413"/>
      <c r="AH168" s="413"/>
      <c r="AI168" s="413"/>
      <c r="AJ168" s="413"/>
      <c r="AK168" s="413"/>
      <c r="AL168" s="413"/>
      <c r="AM168" s="193"/>
      <c r="AN168" s="408">
        <f t="shared" si="59"/>
        <v>1</v>
      </c>
      <c r="AO168" s="251">
        <f t="shared" ca="1" si="72"/>
        <v>2</v>
      </c>
      <c r="AP168" s="251">
        <f t="shared" ca="1" si="73"/>
        <v>120</v>
      </c>
      <c r="AQ168" s="260">
        <f t="shared" ca="1" si="62"/>
        <v>118</v>
      </c>
    </row>
    <row r="169" spans="1:43" hidden="1" outlineLevel="1" x14ac:dyDescent="0.3">
      <c r="A169" s="26" t="s">
        <v>574</v>
      </c>
      <c r="B169" s="26" t="s">
        <v>199</v>
      </c>
      <c r="C169" s="27">
        <v>1</v>
      </c>
      <c r="D169" s="129" t="s">
        <v>695</v>
      </c>
      <c r="E169" s="286" t="s">
        <v>387</v>
      </c>
      <c r="F169" s="128"/>
      <c r="G169" s="128"/>
      <c r="H169" s="128"/>
      <c r="I169" s="128"/>
      <c r="J169" s="128"/>
      <c r="K169" s="128"/>
      <c r="L169" s="27"/>
      <c r="M169" s="27"/>
      <c r="N169" s="27"/>
      <c r="O169" s="128"/>
      <c r="P169" s="243">
        <v>1</v>
      </c>
      <c r="Q169" s="326">
        <f t="shared" si="68"/>
        <v>1</v>
      </c>
      <c r="R169" s="298">
        <f t="shared" si="69"/>
        <v>0.1</v>
      </c>
      <c r="S169" s="251">
        <f t="shared" ca="1" si="70"/>
        <v>1</v>
      </c>
      <c r="T169" s="396">
        <v>0.1</v>
      </c>
      <c r="U169" s="251">
        <f t="shared" ca="1" si="71"/>
        <v>1</v>
      </c>
      <c r="V169"/>
      <c r="W169" s="26" t="s">
        <v>704</v>
      </c>
      <c r="X169"/>
      <c r="Y169" s="413"/>
      <c r="Z169" s="413"/>
      <c r="AA169" s="413"/>
      <c r="AB169" s="415">
        <v>0.5</v>
      </c>
      <c r="AC169" s="415">
        <v>0.5</v>
      </c>
      <c r="AD169" s="413"/>
      <c r="AE169" s="413"/>
      <c r="AF169" s="413"/>
      <c r="AG169" s="413"/>
      <c r="AH169" s="413"/>
      <c r="AI169" s="413"/>
      <c r="AJ169" s="413"/>
      <c r="AK169" s="413"/>
      <c r="AL169" s="413"/>
      <c r="AM169" s="193"/>
      <c r="AN169" s="408">
        <f t="shared" si="59"/>
        <v>1</v>
      </c>
      <c r="AO169" s="251">
        <f t="shared" ca="1" si="72"/>
        <v>1</v>
      </c>
      <c r="AP169" s="251">
        <f t="shared" ca="1" si="73"/>
        <v>60</v>
      </c>
      <c r="AQ169" s="260">
        <f t="shared" ca="1" si="62"/>
        <v>59</v>
      </c>
    </row>
    <row r="170" spans="1:43" hidden="1" outlineLevel="1" x14ac:dyDescent="0.3">
      <c r="A170" s="26" t="s">
        <v>574</v>
      </c>
      <c r="B170" s="26" t="s">
        <v>199</v>
      </c>
      <c r="C170" s="27">
        <v>1</v>
      </c>
      <c r="D170" s="129" t="s">
        <v>695</v>
      </c>
      <c r="E170" s="304" t="s">
        <v>388</v>
      </c>
      <c r="F170" s="141"/>
      <c r="G170" s="141"/>
      <c r="H170" s="141"/>
      <c r="I170" s="141"/>
      <c r="J170" s="141"/>
      <c r="K170" s="141"/>
      <c r="L170" s="188"/>
      <c r="M170" s="188"/>
      <c r="N170" s="188"/>
      <c r="O170" s="141"/>
      <c r="P170" s="324">
        <v>1</v>
      </c>
      <c r="Q170" s="327">
        <f t="shared" si="68"/>
        <v>1</v>
      </c>
      <c r="R170" s="269">
        <f t="shared" si="69"/>
        <v>0.1</v>
      </c>
      <c r="S170" s="399">
        <f t="shared" ca="1" si="70"/>
        <v>1</v>
      </c>
      <c r="T170" s="397">
        <v>0.1</v>
      </c>
      <c r="U170" s="399">
        <f t="shared" ca="1" si="71"/>
        <v>1</v>
      </c>
      <c r="V170"/>
      <c r="W170" s="26" t="s">
        <v>704</v>
      </c>
      <c r="X170"/>
      <c r="Y170" s="414"/>
      <c r="Z170" s="414"/>
      <c r="AA170" s="414"/>
      <c r="AB170" s="416">
        <v>0.5</v>
      </c>
      <c r="AC170" s="416">
        <v>0.5</v>
      </c>
      <c r="AD170" s="414"/>
      <c r="AE170" s="414"/>
      <c r="AF170" s="414"/>
      <c r="AG170" s="414"/>
      <c r="AH170" s="414"/>
      <c r="AI170" s="414"/>
      <c r="AJ170" s="414"/>
      <c r="AK170" s="414"/>
      <c r="AL170" s="414"/>
      <c r="AM170" s="193"/>
      <c r="AN170" s="409">
        <f t="shared" si="59"/>
        <v>1</v>
      </c>
      <c r="AO170" s="399">
        <f t="shared" ca="1" si="72"/>
        <v>1</v>
      </c>
      <c r="AP170" s="399">
        <f t="shared" ca="1" si="73"/>
        <v>60</v>
      </c>
      <c r="AQ170" s="260">
        <f t="shared" ca="1" si="62"/>
        <v>59</v>
      </c>
    </row>
    <row r="171" spans="1:43" s="312" customFormat="1" collapsed="1" x14ac:dyDescent="0.3">
      <c r="A171" s="26" t="s">
        <v>574</v>
      </c>
      <c r="B171" s="26" t="s">
        <v>199</v>
      </c>
      <c r="C171" s="27">
        <v>2</v>
      </c>
      <c r="D171" s="129" t="s">
        <v>695</v>
      </c>
      <c r="E171" s="306" t="s">
        <v>564</v>
      </c>
      <c r="F171" s="307"/>
      <c r="G171" s="307"/>
      <c r="H171" s="307"/>
      <c r="I171" s="307"/>
      <c r="J171" s="307"/>
      <c r="K171" s="307"/>
      <c r="L171" s="310"/>
      <c r="M171" s="308"/>
      <c r="N171" s="309"/>
      <c r="O171" s="308"/>
      <c r="P171" s="308">
        <f>SUM(P165:P170)</f>
        <v>7</v>
      </c>
      <c r="Q171" s="308">
        <f>SUM(Q165:Q170)</f>
        <v>7</v>
      </c>
      <c r="R171" s="235">
        <f t="shared" si="69"/>
        <v>0.1</v>
      </c>
      <c r="S171" s="308">
        <f ca="1">SUM(S165:S170)</f>
        <v>7</v>
      </c>
      <c r="T171" s="235">
        <f ca="1">IFERROR(10^(LOG(U171/S171)/LOG(Q_prototype)-1),0)</f>
        <v>0.1</v>
      </c>
      <c r="U171" s="308">
        <f ca="1">SUM(U165:U170)</f>
        <v>7</v>
      </c>
      <c r="V171" s="311"/>
      <c r="W171" s="260" t="s">
        <v>690</v>
      </c>
      <c r="X171" s="311"/>
      <c r="Y171" s="310">
        <f t="shared" ref="Y171:AL171" ca="1" si="74">SUMPRODUCT($U165:$U170,Y165:Y170)</f>
        <v>0</v>
      </c>
      <c r="Z171" s="310">
        <f t="shared" ca="1" si="74"/>
        <v>0</v>
      </c>
      <c r="AA171" s="310">
        <f t="shared" ca="1" si="74"/>
        <v>0</v>
      </c>
      <c r="AB171" s="310">
        <f t="shared" ca="1" si="74"/>
        <v>3.5</v>
      </c>
      <c r="AC171" s="310">
        <f t="shared" ca="1" si="74"/>
        <v>3.5</v>
      </c>
      <c r="AD171" s="310">
        <f t="shared" ca="1" si="74"/>
        <v>0</v>
      </c>
      <c r="AE171" s="310">
        <f t="shared" ca="1" si="74"/>
        <v>0</v>
      </c>
      <c r="AF171" s="310">
        <f t="shared" ca="1" si="74"/>
        <v>0</v>
      </c>
      <c r="AG171" s="310">
        <f t="shared" ca="1" si="74"/>
        <v>0</v>
      </c>
      <c r="AH171" s="310">
        <f t="shared" ca="1" si="74"/>
        <v>0</v>
      </c>
      <c r="AI171" s="310">
        <f t="shared" ca="1" si="74"/>
        <v>0</v>
      </c>
      <c r="AJ171" s="310">
        <f t="shared" ca="1" si="74"/>
        <v>0</v>
      </c>
      <c r="AK171" s="310">
        <f t="shared" ca="1" si="74"/>
        <v>0</v>
      </c>
      <c r="AL171" s="310">
        <f t="shared" ca="1" si="74"/>
        <v>0</v>
      </c>
      <c r="AM171" s="311"/>
      <c r="AN171" s="308">
        <f t="shared" ca="1" si="59"/>
        <v>7</v>
      </c>
      <c r="AO171" s="308">
        <f ca="1">SUM(AO165:AO170)</f>
        <v>7</v>
      </c>
      <c r="AP171" s="308">
        <f ca="1">SUM(AP165:AP170)</f>
        <v>420</v>
      </c>
      <c r="AQ171" s="458">
        <f ca="1">AP171-U171*(1+employer_contributions)*average_wage</f>
        <v>0</v>
      </c>
    </row>
    <row r="172" spans="1:43" hidden="1" outlineLevel="1" x14ac:dyDescent="0.3">
      <c r="C172"/>
      <c r="D172" s="139"/>
      <c r="E172" s="128"/>
      <c r="L172" s="27"/>
      <c r="M172" s="27"/>
      <c r="N172" s="27"/>
      <c r="P172" s="311"/>
      <c r="Q172" s="311"/>
      <c r="R172" s="276"/>
      <c r="S172" s="311"/>
      <c r="T172" s="276"/>
      <c r="U172" s="311"/>
      <c r="V172"/>
      <c r="X172"/>
      <c r="Y172" s="26"/>
      <c r="AP172" s="311"/>
      <c r="AQ172" s="260">
        <f t="shared" si="62"/>
        <v>0</v>
      </c>
    </row>
    <row r="173" spans="1:43" hidden="1" outlineLevel="1" x14ac:dyDescent="0.3">
      <c r="A173" s="26" t="s">
        <v>574</v>
      </c>
      <c r="B173" s="26" t="s">
        <v>199</v>
      </c>
      <c r="C173" s="27">
        <v>1</v>
      </c>
      <c r="D173" s="129" t="s">
        <v>695</v>
      </c>
      <c r="E173" s="286" t="s">
        <v>385</v>
      </c>
      <c r="F173" s="128"/>
      <c r="G173" s="128"/>
      <c r="H173" s="128"/>
      <c r="I173" s="128"/>
      <c r="J173" s="128"/>
      <c r="K173" s="128"/>
      <c r="L173" s="27"/>
      <c r="M173" s="27"/>
      <c r="N173" s="27"/>
      <c r="O173" s="128"/>
      <c r="P173" s="243">
        <v>2</v>
      </c>
      <c r="Q173" s="326">
        <f t="shared" ref="Q173:Q178" si="75">P173</f>
        <v>2</v>
      </c>
      <c r="R173" s="298">
        <f t="shared" ref="R173:R179" si="76" xml:space="preserve"> 10^(LOG(Q173/P173)/LOG(Q$6/P$6)-1)</f>
        <v>0.1</v>
      </c>
      <c r="S173" s="251">
        <f t="shared" ref="S173:S178" ca="1" si="77">P173*(10*R173)^LOG(wing_area/ref_wing_area)</f>
        <v>2</v>
      </c>
      <c r="T173" s="396">
        <v>0.1</v>
      </c>
      <c r="U173" s="251">
        <f t="shared" ref="U173:U178" ca="1" si="78">S173*(10*T173)^LOG(Q_prototype)</f>
        <v>2</v>
      </c>
      <c r="V173"/>
      <c r="W173" s="26" t="s">
        <v>704</v>
      </c>
      <c r="X173"/>
      <c r="Y173" s="413"/>
      <c r="Z173" s="413"/>
      <c r="AA173" s="413"/>
      <c r="AB173" s="413"/>
      <c r="AC173" s="413"/>
      <c r="AD173" s="415">
        <v>0.5</v>
      </c>
      <c r="AE173" s="415">
        <v>0.5</v>
      </c>
      <c r="AF173" s="413"/>
      <c r="AG173" s="413"/>
      <c r="AH173" s="413"/>
      <c r="AI173" s="413"/>
      <c r="AJ173" s="413"/>
      <c r="AK173" s="413"/>
      <c r="AL173" s="413"/>
      <c r="AM173" s="193"/>
      <c r="AN173" s="408">
        <f t="shared" si="59"/>
        <v>1</v>
      </c>
      <c r="AO173" s="251">
        <f t="shared" ref="AO173:AO178" ca="1" si="79">AN173*U173</f>
        <v>2</v>
      </c>
      <c r="AP173" s="251">
        <f t="shared" ref="AP173:AP178" ca="1" si="80">AO173*average_wage*(1+employer_contributions)</f>
        <v>120</v>
      </c>
      <c r="AQ173" s="260">
        <f t="shared" ca="1" si="62"/>
        <v>118</v>
      </c>
    </row>
    <row r="174" spans="1:43" hidden="1" outlineLevel="1" x14ac:dyDescent="0.3">
      <c r="A174" s="26" t="s">
        <v>574</v>
      </c>
      <c r="B174" s="26" t="s">
        <v>199</v>
      </c>
      <c r="C174" s="27">
        <v>1</v>
      </c>
      <c r="D174" s="129" t="s">
        <v>695</v>
      </c>
      <c r="E174" s="286" t="s">
        <v>381</v>
      </c>
      <c r="F174" s="128"/>
      <c r="G174" s="128"/>
      <c r="H174" s="128"/>
      <c r="I174" s="128"/>
      <c r="J174" s="128"/>
      <c r="K174" s="128"/>
      <c r="L174" s="27"/>
      <c r="M174" s="27"/>
      <c r="N174" s="27"/>
      <c r="O174" s="128"/>
      <c r="P174" s="243">
        <v>2</v>
      </c>
      <c r="Q174" s="326">
        <f t="shared" si="75"/>
        <v>2</v>
      </c>
      <c r="R174" s="298">
        <f t="shared" si="76"/>
        <v>0.1</v>
      </c>
      <c r="S174" s="251">
        <f t="shared" ca="1" si="77"/>
        <v>2</v>
      </c>
      <c r="T174" s="396">
        <v>0.1</v>
      </c>
      <c r="U174" s="251">
        <f t="shared" ca="1" si="78"/>
        <v>2</v>
      </c>
      <c r="V174"/>
      <c r="W174" s="26" t="s">
        <v>704</v>
      </c>
      <c r="X174"/>
      <c r="Y174" s="413"/>
      <c r="Z174" s="413"/>
      <c r="AA174" s="413"/>
      <c r="AB174" s="413"/>
      <c r="AC174" s="413"/>
      <c r="AD174" s="415">
        <v>0.5</v>
      </c>
      <c r="AE174" s="415">
        <v>0.5</v>
      </c>
      <c r="AF174" s="413"/>
      <c r="AG174" s="413"/>
      <c r="AH174" s="413"/>
      <c r="AI174" s="413"/>
      <c r="AJ174" s="413"/>
      <c r="AK174" s="413"/>
      <c r="AL174" s="413"/>
      <c r="AM174" s="193"/>
      <c r="AN174" s="408">
        <f t="shared" si="59"/>
        <v>1</v>
      </c>
      <c r="AO174" s="251">
        <f t="shared" ca="1" si="79"/>
        <v>2</v>
      </c>
      <c r="AP174" s="251">
        <f t="shared" ca="1" si="80"/>
        <v>120</v>
      </c>
      <c r="AQ174" s="260">
        <f t="shared" ca="1" si="62"/>
        <v>118</v>
      </c>
    </row>
    <row r="175" spans="1:43" hidden="1" outlineLevel="1" x14ac:dyDescent="0.3">
      <c r="A175" s="26" t="s">
        <v>574</v>
      </c>
      <c r="B175" s="26" t="s">
        <v>199</v>
      </c>
      <c r="C175" s="27">
        <v>1</v>
      </c>
      <c r="D175" s="129" t="s">
        <v>695</v>
      </c>
      <c r="E175" s="286" t="s">
        <v>382</v>
      </c>
      <c r="F175" s="128"/>
      <c r="G175" s="128"/>
      <c r="H175" s="128"/>
      <c r="I175" s="128"/>
      <c r="J175" s="128"/>
      <c r="K175" s="128"/>
      <c r="L175" s="27"/>
      <c r="M175" s="27"/>
      <c r="N175" s="27"/>
      <c r="O175" s="128"/>
      <c r="P175" s="243">
        <v>2</v>
      </c>
      <c r="Q175" s="326">
        <f t="shared" si="75"/>
        <v>2</v>
      </c>
      <c r="R175" s="298">
        <f t="shared" si="76"/>
        <v>0.1</v>
      </c>
      <c r="S175" s="251">
        <f t="shared" ca="1" si="77"/>
        <v>2</v>
      </c>
      <c r="T175" s="396">
        <v>0.1</v>
      </c>
      <c r="U175" s="251">
        <f t="shared" ca="1" si="78"/>
        <v>2</v>
      </c>
      <c r="V175"/>
      <c r="W175" s="26" t="s">
        <v>704</v>
      </c>
      <c r="X175"/>
      <c r="Y175" s="413"/>
      <c r="Z175" s="413"/>
      <c r="AA175" s="413"/>
      <c r="AB175" s="413"/>
      <c r="AC175" s="413"/>
      <c r="AD175" s="415">
        <v>0.5</v>
      </c>
      <c r="AE175" s="415">
        <v>0.5</v>
      </c>
      <c r="AF175" s="413"/>
      <c r="AG175" s="413"/>
      <c r="AH175" s="413"/>
      <c r="AI175" s="413"/>
      <c r="AJ175" s="413"/>
      <c r="AK175" s="413"/>
      <c r="AL175" s="413"/>
      <c r="AM175" s="193"/>
      <c r="AN175" s="408">
        <f t="shared" si="59"/>
        <v>1</v>
      </c>
      <c r="AO175" s="251">
        <f t="shared" ca="1" si="79"/>
        <v>2</v>
      </c>
      <c r="AP175" s="251">
        <f t="shared" ca="1" si="80"/>
        <v>120</v>
      </c>
      <c r="AQ175" s="260">
        <f t="shared" ca="1" si="62"/>
        <v>118</v>
      </c>
    </row>
    <row r="176" spans="1:43" hidden="1" outlineLevel="1" x14ac:dyDescent="0.3">
      <c r="A176" s="26" t="s">
        <v>574</v>
      </c>
      <c r="B176" s="26" t="s">
        <v>199</v>
      </c>
      <c r="C176" s="27">
        <v>1</v>
      </c>
      <c r="D176" s="129" t="s">
        <v>695</v>
      </c>
      <c r="E176" s="286" t="s">
        <v>386</v>
      </c>
      <c r="F176" s="128"/>
      <c r="G176" s="128"/>
      <c r="H176" s="128"/>
      <c r="I176" s="128"/>
      <c r="J176" s="128"/>
      <c r="K176" s="128"/>
      <c r="L176" s="27"/>
      <c r="M176" s="27"/>
      <c r="N176" s="27"/>
      <c r="O176" s="128"/>
      <c r="P176" s="243">
        <v>2</v>
      </c>
      <c r="Q176" s="326">
        <f t="shared" si="75"/>
        <v>2</v>
      </c>
      <c r="R176" s="298">
        <f t="shared" si="76"/>
        <v>0.1</v>
      </c>
      <c r="S176" s="251">
        <f t="shared" ca="1" si="77"/>
        <v>2</v>
      </c>
      <c r="T176" s="396">
        <v>0.1</v>
      </c>
      <c r="U176" s="251">
        <f t="shared" ca="1" si="78"/>
        <v>2</v>
      </c>
      <c r="V176"/>
      <c r="W176" s="26" t="s">
        <v>704</v>
      </c>
      <c r="X176"/>
      <c r="Y176" s="413"/>
      <c r="Z176" s="413"/>
      <c r="AA176" s="413"/>
      <c r="AB176" s="413"/>
      <c r="AC176" s="413"/>
      <c r="AD176" s="415">
        <v>0.5</v>
      </c>
      <c r="AE176" s="415">
        <v>0.5</v>
      </c>
      <c r="AF176" s="413"/>
      <c r="AG176" s="413"/>
      <c r="AH176" s="413"/>
      <c r="AI176" s="413"/>
      <c r="AJ176" s="413"/>
      <c r="AK176" s="413"/>
      <c r="AL176" s="413"/>
      <c r="AM176" s="193"/>
      <c r="AN176" s="408">
        <f t="shared" si="59"/>
        <v>1</v>
      </c>
      <c r="AO176" s="251">
        <f t="shared" ca="1" si="79"/>
        <v>2</v>
      </c>
      <c r="AP176" s="251">
        <f t="shared" ca="1" si="80"/>
        <v>120</v>
      </c>
      <c r="AQ176" s="260">
        <f t="shared" ca="1" si="62"/>
        <v>118</v>
      </c>
    </row>
    <row r="177" spans="1:43" hidden="1" outlineLevel="1" x14ac:dyDescent="0.3">
      <c r="A177" s="26" t="s">
        <v>574</v>
      </c>
      <c r="B177" s="26" t="s">
        <v>199</v>
      </c>
      <c r="C177" s="27">
        <v>1</v>
      </c>
      <c r="D177" s="129" t="s">
        <v>695</v>
      </c>
      <c r="E177" s="286" t="s">
        <v>387</v>
      </c>
      <c r="F177" s="128"/>
      <c r="G177" s="128"/>
      <c r="H177" s="128"/>
      <c r="I177" s="128"/>
      <c r="J177" s="128"/>
      <c r="K177" s="128"/>
      <c r="L177" s="27"/>
      <c r="M177" s="27"/>
      <c r="N177" s="27"/>
      <c r="O177" s="128"/>
      <c r="P177" s="243">
        <v>1</v>
      </c>
      <c r="Q177" s="326">
        <f t="shared" si="75"/>
        <v>1</v>
      </c>
      <c r="R177" s="298">
        <f t="shared" si="76"/>
        <v>0.1</v>
      </c>
      <c r="S177" s="251">
        <f t="shared" ca="1" si="77"/>
        <v>1</v>
      </c>
      <c r="T177" s="396">
        <v>0.1</v>
      </c>
      <c r="U177" s="251">
        <f t="shared" ca="1" si="78"/>
        <v>1</v>
      </c>
      <c r="V177"/>
      <c r="W177" s="26" t="s">
        <v>704</v>
      </c>
      <c r="X177"/>
      <c r="Y177" s="413"/>
      <c r="Z177" s="413"/>
      <c r="AA177" s="413"/>
      <c r="AB177" s="413"/>
      <c r="AC177" s="413"/>
      <c r="AD177" s="415">
        <v>0.5</v>
      </c>
      <c r="AE177" s="415">
        <v>0.5</v>
      </c>
      <c r="AF177" s="413"/>
      <c r="AG177" s="413"/>
      <c r="AH177" s="413"/>
      <c r="AI177" s="413"/>
      <c r="AJ177" s="413"/>
      <c r="AK177" s="413"/>
      <c r="AL177" s="413"/>
      <c r="AM177" s="193"/>
      <c r="AN177" s="408">
        <f t="shared" si="59"/>
        <v>1</v>
      </c>
      <c r="AO177" s="251">
        <f t="shared" ca="1" si="79"/>
        <v>1</v>
      </c>
      <c r="AP177" s="251">
        <f t="shared" ca="1" si="80"/>
        <v>60</v>
      </c>
      <c r="AQ177" s="260">
        <f t="shared" ca="1" si="62"/>
        <v>59</v>
      </c>
    </row>
    <row r="178" spans="1:43" hidden="1" outlineLevel="1" x14ac:dyDescent="0.3">
      <c r="A178" s="26" t="s">
        <v>574</v>
      </c>
      <c r="B178" s="26" t="s">
        <v>199</v>
      </c>
      <c r="C178" s="27">
        <v>1</v>
      </c>
      <c r="D178" s="129" t="s">
        <v>695</v>
      </c>
      <c r="E178" s="304" t="s">
        <v>388</v>
      </c>
      <c r="F178" s="141"/>
      <c r="G178" s="141"/>
      <c r="H178" s="141"/>
      <c r="I178" s="141"/>
      <c r="J178" s="141"/>
      <c r="K178" s="141"/>
      <c r="L178" s="188"/>
      <c r="M178" s="188"/>
      <c r="N178" s="188"/>
      <c r="O178" s="141"/>
      <c r="P178" s="324">
        <v>1</v>
      </c>
      <c r="Q178" s="327">
        <f t="shared" si="75"/>
        <v>1</v>
      </c>
      <c r="R178" s="269">
        <f t="shared" si="76"/>
        <v>0.1</v>
      </c>
      <c r="S178" s="399">
        <f t="shared" ca="1" si="77"/>
        <v>1</v>
      </c>
      <c r="T178" s="397">
        <v>0.1</v>
      </c>
      <c r="U178" s="399">
        <f t="shared" ca="1" si="78"/>
        <v>1</v>
      </c>
      <c r="V178"/>
      <c r="W178" s="26" t="s">
        <v>704</v>
      </c>
      <c r="X178"/>
      <c r="Y178" s="414"/>
      <c r="Z178" s="414"/>
      <c r="AA178" s="414"/>
      <c r="AB178" s="414"/>
      <c r="AC178" s="414"/>
      <c r="AD178" s="416">
        <v>0.5</v>
      </c>
      <c r="AE178" s="416">
        <v>0.5</v>
      </c>
      <c r="AF178" s="414"/>
      <c r="AG178" s="414"/>
      <c r="AH178" s="414"/>
      <c r="AI178" s="414"/>
      <c r="AJ178" s="414"/>
      <c r="AK178" s="414"/>
      <c r="AL178" s="414"/>
      <c r="AM178" s="193"/>
      <c r="AN178" s="409">
        <f t="shared" si="59"/>
        <v>1</v>
      </c>
      <c r="AO178" s="399">
        <f t="shared" ca="1" si="79"/>
        <v>1</v>
      </c>
      <c r="AP178" s="399">
        <f t="shared" ca="1" si="80"/>
        <v>60</v>
      </c>
      <c r="AQ178" s="260">
        <f t="shared" ca="1" si="62"/>
        <v>59</v>
      </c>
    </row>
    <row r="179" spans="1:43" s="312" customFormat="1" collapsed="1" x14ac:dyDescent="0.3">
      <c r="A179" s="26" t="s">
        <v>574</v>
      </c>
      <c r="B179" s="26" t="s">
        <v>199</v>
      </c>
      <c r="C179" s="27">
        <v>2</v>
      </c>
      <c r="D179" s="129" t="s">
        <v>695</v>
      </c>
      <c r="E179" s="306" t="s">
        <v>511</v>
      </c>
      <c r="F179" s="307"/>
      <c r="G179" s="307"/>
      <c r="H179" s="307"/>
      <c r="I179" s="307"/>
      <c r="J179" s="307"/>
      <c r="K179" s="307"/>
      <c r="L179" s="310"/>
      <c r="M179" s="308"/>
      <c r="N179" s="309"/>
      <c r="O179" s="308"/>
      <c r="P179" s="308">
        <f>SUM(P173:P178)</f>
        <v>10</v>
      </c>
      <c r="Q179" s="308">
        <f>SUM(Q173:Q178)</f>
        <v>10</v>
      </c>
      <c r="R179" s="235">
        <f t="shared" si="76"/>
        <v>0.1</v>
      </c>
      <c r="S179" s="308">
        <f ca="1">SUM(S173:S178)</f>
        <v>10</v>
      </c>
      <c r="T179" s="235">
        <f ca="1">IFERROR(10^(LOG(U179/S179)/LOG(Q_prototype)-1),0)</f>
        <v>0.1</v>
      </c>
      <c r="U179" s="308">
        <f ca="1">SUM(U173:U178)</f>
        <v>10</v>
      </c>
      <c r="V179" s="311"/>
      <c r="W179" s="260" t="s">
        <v>690</v>
      </c>
      <c r="X179" s="311"/>
      <c r="Y179" s="310">
        <f t="shared" ref="Y179:AL179" ca="1" si="81">SUMPRODUCT($U173:$U178,Y173:Y178)</f>
        <v>0</v>
      </c>
      <c r="Z179" s="310">
        <f t="shared" ca="1" si="81"/>
        <v>0</v>
      </c>
      <c r="AA179" s="310">
        <f t="shared" ca="1" si="81"/>
        <v>0</v>
      </c>
      <c r="AB179" s="310">
        <f t="shared" ca="1" si="81"/>
        <v>0</v>
      </c>
      <c r="AC179" s="310">
        <f t="shared" ca="1" si="81"/>
        <v>0</v>
      </c>
      <c r="AD179" s="310">
        <f t="shared" ca="1" si="81"/>
        <v>5</v>
      </c>
      <c r="AE179" s="310">
        <f t="shared" ca="1" si="81"/>
        <v>5</v>
      </c>
      <c r="AF179" s="310">
        <f t="shared" ca="1" si="81"/>
        <v>0</v>
      </c>
      <c r="AG179" s="310">
        <f t="shared" ca="1" si="81"/>
        <v>0</v>
      </c>
      <c r="AH179" s="310">
        <f t="shared" ca="1" si="81"/>
        <v>0</v>
      </c>
      <c r="AI179" s="310">
        <f t="shared" ca="1" si="81"/>
        <v>0</v>
      </c>
      <c r="AJ179" s="310">
        <f t="shared" ca="1" si="81"/>
        <v>0</v>
      </c>
      <c r="AK179" s="310">
        <f t="shared" ca="1" si="81"/>
        <v>0</v>
      </c>
      <c r="AL179" s="310">
        <f t="shared" ca="1" si="81"/>
        <v>0</v>
      </c>
      <c r="AM179" s="311"/>
      <c r="AN179" s="308">
        <f t="shared" ca="1" si="59"/>
        <v>10</v>
      </c>
      <c r="AO179" s="308">
        <f ca="1">SUM(AO173:AO178)</f>
        <v>10</v>
      </c>
      <c r="AP179" s="308">
        <f ca="1">SUM(AP173:AP178)</f>
        <v>600</v>
      </c>
      <c r="AQ179" s="458">
        <f ca="1">AP179-U179*(1+employer_contributions)*average_wage</f>
        <v>0</v>
      </c>
    </row>
    <row r="180" spans="1:43" hidden="1" outlineLevel="1" x14ac:dyDescent="0.3">
      <c r="C180"/>
      <c r="D180" s="139"/>
      <c r="E180" s="128"/>
      <c r="L180" s="27"/>
      <c r="M180" s="27"/>
      <c r="N180" s="27"/>
      <c r="P180" s="311"/>
      <c r="Q180" s="311"/>
      <c r="R180" s="276"/>
      <c r="S180" s="311"/>
      <c r="T180" s="276"/>
      <c r="U180" s="311"/>
      <c r="V180"/>
      <c r="X180"/>
      <c r="Y180" s="26"/>
      <c r="AP180" s="311"/>
      <c r="AQ180" s="260">
        <f t="shared" si="62"/>
        <v>0</v>
      </c>
    </row>
    <row r="181" spans="1:43" hidden="1" outlineLevel="1" x14ac:dyDescent="0.3">
      <c r="A181" s="26" t="s">
        <v>376</v>
      </c>
      <c r="B181" s="26" t="s">
        <v>199</v>
      </c>
      <c r="C181" s="27">
        <v>1</v>
      </c>
      <c r="D181" s="129" t="s">
        <v>695</v>
      </c>
      <c r="E181" s="286" t="s">
        <v>385</v>
      </c>
      <c r="F181" s="128"/>
      <c r="G181" s="128"/>
      <c r="H181" s="128"/>
      <c r="I181" s="128"/>
      <c r="J181" s="128"/>
      <c r="K181" s="128"/>
      <c r="L181" s="27"/>
      <c r="M181" s="27"/>
      <c r="N181" s="27"/>
      <c r="O181" s="128"/>
      <c r="P181" s="243">
        <v>2</v>
      </c>
      <c r="Q181" s="326">
        <f t="shared" ref="Q181:Q186" si="82">P181</f>
        <v>2</v>
      </c>
      <c r="R181" s="298">
        <f t="shared" ref="R181:R187" si="83" xml:space="preserve"> 10^(LOG(Q181/P181)/LOG(Q$6/P$6)-1)</f>
        <v>0.1</v>
      </c>
      <c r="S181" s="251">
        <f t="shared" ref="S181:S186" ca="1" si="84">P181*(10*R181)^LOG(wing_area/ref_wing_area)</f>
        <v>2</v>
      </c>
      <c r="T181" s="396">
        <v>0.1</v>
      </c>
      <c r="U181" s="251">
        <f t="shared" ref="U181:U186" ca="1" si="85">S181*(10*T181)^LOG(Q_prototype)</f>
        <v>2</v>
      </c>
      <c r="V181"/>
      <c r="W181" s="26" t="s">
        <v>704</v>
      </c>
      <c r="X181"/>
      <c r="Y181" s="413"/>
      <c r="Z181" s="413"/>
      <c r="AA181" s="413"/>
      <c r="AB181" s="413"/>
      <c r="AC181" s="413"/>
      <c r="AD181" s="413"/>
      <c r="AE181" s="413"/>
      <c r="AF181" s="415">
        <v>0.5</v>
      </c>
      <c r="AG181" s="415">
        <v>0.5</v>
      </c>
      <c r="AH181" s="413"/>
      <c r="AI181" s="413"/>
      <c r="AJ181" s="413"/>
      <c r="AK181" s="413"/>
      <c r="AL181" s="413"/>
      <c r="AM181" s="193"/>
      <c r="AN181" s="408">
        <f t="shared" si="59"/>
        <v>1</v>
      </c>
      <c r="AO181" s="251">
        <f t="shared" ref="AO181:AO186" ca="1" si="86">AN181*U181</f>
        <v>2</v>
      </c>
      <c r="AP181" s="251">
        <f t="shared" ref="AP181:AP186" ca="1" si="87">AO181*average_wage*(1+employer_contributions)</f>
        <v>120</v>
      </c>
      <c r="AQ181" s="260">
        <f t="shared" ca="1" si="62"/>
        <v>118</v>
      </c>
    </row>
    <row r="182" spans="1:43" hidden="1" outlineLevel="1" x14ac:dyDescent="0.3">
      <c r="A182" s="26" t="s">
        <v>376</v>
      </c>
      <c r="B182" s="26" t="s">
        <v>199</v>
      </c>
      <c r="C182" s="27">
        <v>1</v>
      </c>
      <c r="D182" s="129" t="s">
        <v>695</v>
      </c>
      <c r="E182" s="286" t="s">
        <v>381</v>
      </c>
      <c r="F182" s="128"/>
      <c r="G182" s="128"/>
      <c r="H182" s="128"/>
      <c r="I182" s="128"/>
      <c r="J182" s="128"/>
      <c r="K182" s="128"/>
      <c r="L182" s="27"/>
      <c r="M182" s="27"/>
      <c r="N182" s="27"/>
      <c r="O182" s="128"/>
      <c r="P182" s="243">
        <v>2</v>
      </c>
      <c r="Q182" s="326">
        <f t="shared" si="82"/>
        <v>2</v>
      </c>
      <c r="R182" s="298">
        <f t="shared" si="83"/>
        <v>0.1</v>
      </c>
      <c r="S182" s="251">
        <f t="shared" ca="1" si="84"/>
        <v>2</v>
      </c>
      <c r="T182" s="396">
        <v>0.1</v>
      </c>
      <c r="U182" s="251">
        <f t="shared" ca="1" si="85"/>
        <v>2</v>
      </c>
      <c r="V182"/>
      <c r="W182" s="26" t="s">
        <v>704</v>
      </c>
      <c r="X182"/>
      <c r="Y182" s="413"/>
      <c r="Z182" s="413"/>
      <c r="AA182" s="413"/>
      <c r="AB182" s="413"/>
      <c r="AC182" s="413"/>
      <c r="AD182" s="413"/>
      <c r="AE182" s="413"/>
      <c r="AF182" s="415">
        <v>0.5</v>
      </c>
      <c r="AG182" s="415">
        <v>0.5</v>
      </c>
      <c r="AH182" s="413"/>
      <c r="AI182" s="413"/>
      <c r="AJ182" s="413"/>
      <c r="AK182" s="413"/>
      <c r="AL182" s="413"/>
      <c r="AM182" s="193"/>
      <c r="AN182" s="408">
        <f t="shared" si="59"/>
        <v>1</v>
      </c>
      <c r="AO182" s="251">
        <f t="shared" ca="1" si="86"/>
        <v>2</v>
      </c>
      <c r="AP182" s="251">
        <f t="shared" ca="1" si="87"/>
        <v>120</v>
      </c>
      <c r="AQ182" s="260">
        <f t="shared" ca="1" si="62"/>
        <v>118</v>
      </c>
    </row>
    <row r="183" spans="1:43" hidden="1" outlineLevel="1" x14ac:dyDescent="0.3">
      <c r="A183" s="26" t="s">
        <v>376</v>
      </c>
      <c r="B183" s="26" t="s">
        <v>199</v>
      </c>
      <c r="C183" s="27">
        <v>1</v>
      </c>
      <c r="D183" s="129" t="s">
        <v>695</v>
      </c>
      <c r="E183" s="286" t="s">
        <v>382</v>
      </c>
      <c r="F183" s="128"/>
      <c r="G183" s="128"/>
      <c r="H183" s="128"/>
      <c r="I183" s="128"/>
      <c r="J183" s="128"/>
      <c r="K183" s="128"/>
      <c r="L183" s="27"/>
      <c r="M183" s="27"/>
      <c r="N183" s="27"/>
      <c r="O183" s="128"/>
      <c r="P183" s="243">
        <v>2</v>
      </c>
      <c r="Q183" s="326">
        <f t="shared" si="82"/>
        <v>2</v>
      </c>
      <c r="R183" s="298">
        <f t="shared" si="83"/>
        <v>0.1</v>
      </c>
      <c r="S183" s="251">
        <f t="shared" ca="1" si="84"/>
        <v>2</v>
      </c>
      <c r="T183" s="396">
        <v>0.1</v>
      </c>
      <c r="U183" s="251">
        <f t="shared" ca="1" si="85"/>
        <v>2</v>
      </c>
      <c r="V183"/>
      <c r="W183" s="26" t="s">
        <v>704</v>
      </c>
      <c r="X183"/>
      <c r="Y183" s="413"/>
      <c r="Z183" s="413"/>
      <c r="AA183" s="413"/>
      <c r="AB183" s="413"/>
      <c r="AC183" s="413"/>
      <c r="AD183" s="413"/>
      <c r="AE183" s="413"/>
      <c r="AF183" s="415">
        <v>0.5</v>
      </c>
      <c r="AG183" s="415">
        <v>0.5</v>
      </c>
      <c r="AH183" s="413"/>
      <c r="AI183" s="413"/>
      <c r="AJ183" s="413"/>
      <c r="AK183" s="413"/>
      <c r="AL183" s="413"/>
      <c r="AM183" s="193"/>
      <c r="AN183" s="408">
        <f t="shared" si="59"/>
        <v>1</v>
      </c>
      <c r="AO183" s="251">
        <f t="shared" ca="1" si="86"/>
        <v>2</v>
      </c>
      <c r="AP183" s="251">
        <f t="shared" ca="1" si="87"/>
        <v>120</v>
      </c>
      <c r="AQ183" s="260">
        <f t="shared" ca="1" si="62"/>
        <v>118</v>
      </c>
    </row>
    <row r="184" spans="1:43" hidden="1" outlineLevel="1" x14ac:dyDescent="0.3">
      <c r="A184" s="26" t="s">
        <v>376</v>
      </c>
      <c r="B184" s="26" t="s">
        <v>199</v>
      </c>
      <c r="C184" s="27">
        <v>1</v>
      </c>
      <c r="D184" s="129" t="s">
        <v>695</v>
      </c>
      <c r="E184" s="286" t="s">
        <v>386</v>
      </c>
      <c r="F184" s="128"/>
      <c r="G184" s="128"/>
      <c r="H184" s="128"/>
      <c r="I184" s="128"/>
      <c r="J184" s="128"/>
      <c r="K184" s="128"/>
      <c r="L184" s="27"/>
      <c r="M184" s="27"/>
      <c r="N184" s="27"/>
      <c r="O184" s="128"/>
      <c r="P184" s="243">
        <v>2</v>
      </c>
      <c r="Q184" s="326">
        <f t="shared" si="82"/>
        <v>2</v>
      </c>
      <c r="R184" s="298">
        <f t="shared" si="83"/>
        <v>0.1</v>
      </c>
      <c r="S184" s="251">
        <f t="shared" ca="1" si="84"/>
        <v>2</v>
      </c>
      <c r="T184" s="396">
        <v>0.1</v>
      </c>
      <c r="U184" s="251">
        <f t="shared" ca="1" si="85"/>
        <v>2</v>
      </c>
      <c r="V184"/>
      <c r="W184" s="26" t="s">
        <v>704</v>
      </c>
      <c r="X184"/>
      <c r="Y184" s="413"/>
      <c r="Z184" s="413"/>
      <c r="AA184" s="413"/>
      <c r="AB184" s="413"/>
      <c r="AC184" s="413"/>
      <c r="AD184" s="413"/>
      <c r="AE184" s="413"/>
      <c r="AF184" s="415">
        <v>0.5</v>
      </c>
      <c r="AG184" s="415">
        <v>0.5</v>
      </c>
      <c r="AH184" s="413"/>
      <c r="AI184" s="413"/>
      <c r="AJ184" s="413"/>
      <c r="AK184" s="413"/>
      <c r="AL184" s="413"/>
      <c r="AM184" s="193"/>
      <c r="AN184" s="408">
        <f t="shared" si="59"/>
        <v>1</v>
      </c>
      <c r="AO184" s="251">
        <f t="shared" ca="1" si="86"/>
        <v>2</v>
      </c>
      <c r="AP184" s="251">
        <f t="shared" ca="1" si="87"/>
        <v>120</v>
      </c>
      <c r="AQ184" s="260">
        <f t="shared" ca="1" si="62"/>
        <v>118</v>
      </c>
    </row>
    <row r="185" spans="1:43" hidden="1" outlineLevel="1" x14ac:dyDescent="0.3">
      <c r="A185" s="26" t="s">
        <v>376</v>
      </c>
      <c r="B185" s="26" t="s">
        <v>199</v>
      </c>
      <c r="C185" s="27">
        <v>1</v>
      </c>
      <c r="D185" s="129" t="s">
        <v>695</v>
      </c>
      <c r="E185" s="286" t="s">
        <v>387</v>
      </c>
      <c r="F185" s="128"/>
      <c r="G185" s="128"/>
      <c r="H185" s="128"/>
      <c r="I185" s="128"/>
      <c r="J185" s="128"/>
      <c r="K185" s="128"/>
      <c r="L185" s="27"/>
      <c r="M185" s="27"/>
      <c r="N185" s="27"/>
      <c r="O185" s="128"/>
      <c r="P185" s="243">
        <v>1</v>
      </c>
      <c r="Q185" s="326">
        <f t="shared" si="82"/>
        <v>1</v>
      </c>
      <c r="R185" s="298">
        <f t="shared" si="83"/>
        <v>0.1</v>
      </c>
      <c r="S185" s="251">
        <f t="shared" ca="1" si="84"/>
        <v>1</v>
      </c>
      <c r="T185" s="396">
        <v>0.1</v>
      </c>
      <c r="U185" s="251">
        <f t="shared" ca="1" si="85"/>
        <v>1</v>
      </c>
      <c r="V185"/>
      <c r="W185" s="26" t="s">
        <v>704</v>
      </c>
      <c r="X185"/>
      <c r="Y185" s="413"/>
      <c r="Z185" s="413"/>
      <c r="AA185" s="413"/>
      <c r="AB185" s="413"/>
      <c r="AC185" s="413"/>
      <c r="AD185" s="413"/>
      <c r="AE185" s="413"/>
      <c r="AF185" s="415">
        <v>0.5</v>
      </c>
      <c r="AG185" s="415">
        <v>0.5</v>
      </c>
      <c r="AH185" s="413"/>
      <c r="AI185" s="413"/>
      <c r="AJ185" s="413"/>
      <c r="AK185" s="413"/>
      <c r="AL185" s="413"/>
      <c r="AM185" s="193"/>
      <c r="AN185" s="408">
        <f t="shared" si="59"/>
        <v>1</v>
      </c>
      <c r="AO185" s="251">
        <f t="shared" ca="1" si="86"/>
        <v>1</v>
      </c>
      <c r="AP185" s="251">
        <f t="shared" ca="1" si="87"/>
        <v>60</v>
      </c>
      <c r="AQ185" s="260">
        <f t="shared" ca="1" si="62"/>
        <v>59</v>
      </c>
    </row>
    <row r="186" spans="1:43" hidden="1" outlineLevel="1" x14ac:dyDescent="0.3">
      <c r="A186" s="26" t="s">
        <v>376</v>
      </c>
      <c r="B186" s="26" t="s">
        <v>199</v>
      </c>
      <c r="C186" s="27">
        <v>1</v>
      </c>
      <c r="D186" s="129" t="s">
        <v>695</v>
      </c>
      <c r="E186" s="304" t="s">
        <v>388</v>
      </c>
      <c r="F186" s="141"/>
      <c r="G186" s="141"/>
      <c r="H186" s="141"/>
      <c r="I186" s="141"/>
      <c r="J186" s="141"/>
      <c r="K186" s="141"/>
      <c r="L186" s="188"/>
      <c r="M186" s="188"/>
      <c r="N186" s="188"/>
      <c r="O186" s="141"/>
      <c r="P186" s="324">
        <v>1</v>
      </c>
      <c r="Q186" s="327">
        <f t="shared" si="82"/>
        <v>1</v>
      </c>
      <c r="R186" s="269">
        <f t="shared" si="83"/>
        <v>0.1</v>
      </c>
      <c r="S186" s="399">
        <f t="shared" ca="1" si="84"/>
        <v>1</v>
      </c>
      <c r="T186" s="397">
        <v>0.1</v>
      </c>
      <c r="U186" s="399">
        <f t="shared" ca="1" si="85"/>
        <v>1</v>
      </c>
      <c r="V186"/>
      <c r="W186" s="26" t="s">
        <v>704</v>
      </c>
      <c r="X186"/>
      <c r="Y186" s="414"/>
      <c r="Z186" s="414"/>
      <c r="AA186" s="414"/>
      <c r="AB186" s="414"/>
      <c r="AC186" s="414"/>
      <c r="AD186" s="414"/>
      <c r="AE186" s="414"/>
      <c r="AF186" s="416">
        <v>0.5</v>
      </c>
      <c r="AG186" s="416">
        <v>0.5</v>
      </c>
      <c r="AH186" s="414"/>
      <c r="AI186" s="414"/>
      <c r="AJ186" s="414"/>
      <c r="AK186" s="414"/>
      <c r="AL186" s="414"/>
      <c r="AM186" s="193"/>
      <c r="AN186" s="409">
        <f t="shared" si="59"/>
        <v>1</v>
      </c>
      <c r="AO186" s="399">
        <f t="shared" ca="1" si="86"/>
        <v>1</v>
      </c>
      <c r="AP186" s="399">
        <f t="shared" ca="1" si="87"/>
        <v>60</v>
      </c>
      <c r="AQ186" s="260">
        <f t="shared" ca="1" si="62"/>
        <v>59</v>
      </c>
    </row>
    <row r="187" spans="1:43" s="312" customFormat="1" collapsed="1" x14ac:dyDescent="0.3">
      <c r="A187" s="312" t="s">
        <v>376</v>
      </c>
      <c r="B187" s="312" t="s">
        <v>199</v>
      </c>
      <c r="C187" s="27">
        <v>2</v>
      </c>
      <c r="D187" s="129" t="s">
        <v>695</v>
      </c>
      <c r="E187" s="306" t="s">
        <v>300</v>
      </c>
      <c r="F187" s="307"/>
      <c r="G187" s="307"/>
      <c r="H187" s="307"/>
      <c r="I187" s="307"/>
      <c r="J187" s="307"/>
      <c r="K187" s="307"/>
      <c r="L187" s="310"/>
      <c r="M187" s="308"/>
      <c r="N187" s="309"/>
      <c r="O187" s="308"/>
      <c r="P187" s="308">
        <f>SUM(P181:P186)</f>
        <v>10</v>
      </c>
      <c r="Q187" s="308">
        <f>SUM(Q181:Q186)</f>
        <v>10</v>
      </c>
      <c r="R187" s="235">
        <f t="shared" si="83"/>
        <v>0.1</v>
      </c>
      <c r="S187" s="308">
        <f ca="1">SUM(S181:S186)</f>
        <v>10</v>
      </c>
      <c r="T187" s="235">
        <f ca="1">IFERROR(10^(LOG(U187/S187)/LOG(Q_prototype)-1),0)</f>
        <v>0.1</v>
      </c>
      <c r="U187" s="308">
        <f ca="1">SUM(U181:U186)</f>
        <v>10</v>
      </c>
      <c r="V187" s="311"/>
      <c r="W187" s="260" t="s">
        <v>690</v>
      </c>
      <c r="X187" s="311"/>
      <c r="Y187" s="310">
        <f t="shared" ref="Y187:AL187" ca="1" si="88">SUMPRODUCT($U181:$U186,Y181:Y186)</f>
        <v>0</v>
      </c>
      <c r="Z187" s="310">
        <f t="shared" ca="1" si="88"/>
        <v>0</v>
      </c>
      <c r="AA187" s="310">
        <f t="shared" ca="1" si="88"/>
        <v>0</v>
      </c>
      <c r="AB187" s="310">
        <f t="shared" ca="1" si="88"/>
        <v>0</v>
      </c>
      <c r="AC187" s="310">
        <f t="shared" ca="1" si="88"/>
        <v>0</v>
      </c>
      <c r="AD187" s="310">
        <f t="shared" ca="1" si="88"/>
        <v>0</v>
      </c>
      <c r="AE187" s="310">
        <f t="shared" ca="1" si="88"/>
        <v>0</v>
      </c>
      <c r="AF187" s="310">
        <f t="shared" ca="1" si="88"/>
        <v>5</v>
      </c>
      <c r="AG187" s="310">
        <f t="shared" ca="1" si="88"/>
        <v>5</v>
      </c>
      <c r="AH187" s="310">
        <f t="shared" ca="1" si="88"/>
        <v>0</v>
      </c>
      <c r="AI187" s="310">
        <f t="shared" ca="1" si="88"/>
        <v>0</v>
      </c>
      <c r="AJ187" s="310">
        <f t="shared" ca="1" si="88"/>
        <v>0</v>
      </c>
      <c r="AK187" s="310">
        <f t="shared" ca="1" si="88"/>
        <v>0</v>
      </c>
      <c r="AL187" s="310">
        <f t="shared" ca="1" si="88"/>
        <v>0</v>
      </c>
      <c r="AM187" s="311"/>
      <c r="AN187" s="308">
        <f t="shared" ca="1" si="59"/>
        <v>10</v>
      </c>
      <c r="AO187" s="308">
        <f ca="1">SUM(AO181:AO186)</f>
        <v>10</v>
      </c>
      <c r="AP187" s="308">
        <f ca="1">SUM(AP181:AP186)</f>
        <v>600</v>
      </c>
      <c r="AQ187" s="458">
        <f ca="1">AP187-U187*(1+employer_contributions)*average_wage</f>
        <v>0</v>
      </c>
    </row>
    <row r="188" spans="1:43" hidden="1" outlineLevel="1" x14ac:dyDescent="0.3">
      <c r="C188"/>
      <c r="D188" s="139"/>
      <c r="E188" s="128"/>
      <c r="L188" s="27"/>
      <c r="M188" s="27"/>
      <c r="N188" s="27"/>
      <c r="P188" s="311"/>
      <c r="Q188" s="311"/>
      <c r="R188" s="276"/>
      <c r="S188" s="311"/>
      <c r="T188" s="276"/>
      <c r="U188" s="311"/>
      <c r="V188"/>
      <c r="X188"/>
      <c r="Y188" s="26"/>
      <c r="AP188" s="311"/>
      <c r="AQ188" s="260">
        <f t="shared" si="62"/>
        <v>0</v>
      </c>
    </row>
    <row r="189" spans="1:43" hidden="1" outlineLevel="1" x14ac:dyDescent="0.3">
      <c r="A189" s="312" t="s">
        <v>376</v>
      </c>
      <c r="B189" s="312" t="s">
        <v>199</v>
      </c>
      <c r="C189" s="27">
        <v>1</v>
      </c>
      <c r="D189" s="129" t="s">
        <v>695</v>
      </c>
      <c r="E189" s="304" t="s">
        <v>301</v>
      </c>
      <c r="F189" s="144"/>
      <c r="G189" s="144"/>
      <c r="H189" s="144"/>
      <c r="I189" s="144"/>
      <c r="J189" s="144"/>
      <c r="K189" s="144"/>
      <c r="L189" s="188"/>
      <c r="M189" s="188"/>
      <c r="N189" s="188"/>
      <c r="O189" s="144"/>
      <c r="P189" s="324">
        <v>5</v>
      </c>
      <c r="Q189" s="327">
        <f>P189</f>
        <v>5</v>
      </c>
      <c r="R189" s="325">
        <f xml:space="preserve"> 10^(LOG(Q189/P189)/LOG(Q$6/P$6)-1)</f>
        <v>0.1</v>
      </c>
      <c r="S189" s="399">
        <f ca="1">P189*(10*R189)^LOG(wing_area/ref_wing_area)</f>
        <v>5</v>
      </c>
      <c r="T189" s="397">
        <v>0.1</v>
      </c>
      <c r="U189" s="399">
        <f ca="1">S189*(10*T189)^LOG(Q_prototype)</f>
        <v>5</v>
      </c>
      <c r="V189"/>
      <c r="W189" s="26" t="s">
        <v>704</v>
      </c>
      <c r="X189"/>
      <c r="Y189" s="419">
        <v>0</v>
      </c>
      <c r="Z189" s="419">
        <v>0</v>
      </c>
      <c r="AA189" s="419">
        <v>0</v>
      </c>
      <c r="AB189" s="419">
        <v>0</v>
      </c>
      <c r="AC189" s="419">
        <v>0</v>
      </c>
      <c r="AD189" s="419">
        <v>0</v>
      </c>
      <c r="AE189" s="419">
        <v>0</v>
      </c>
      <c r="AF189" s="419">
        <v>0</v>
      </c>
      <c r="AG189" s="419">
        <v>0</v>
      </c>
      <c r="AH189" s="416">
        <v>1</v>
      </c>
      <c r="AI189" s="419">
        <v>0</v>
      </c>
      <c r="AJ189" s="419">
        <v>0</v>
      </c>
      <c r="AK189" s="419">
        <v>0</v>
      </c>
      <c r="AL189" s="419">
        <v>0</v>
      </c>
      <c r="AM189" s="193"/>
      <c r="AN189" s="410">
        <f t="shared" si="59"/>
        <v>1</v>
      </c>
      <c r="AO189" s="399">
        <f ca="1">AN189*U189</f>
        <v>5</v>
      </c>
      <c r="AP189" s="399">
        <f ca="1">AO189*average_wage*(1+employer_contributions)</f>
        <v>300</v>
      </c>
      <c r="AQ189" s="260">
        <f t="shared" ca="1" si="62"/>
        <v>295</v>
      </c>
    </row>
    <row r="190" spans="1:43" s="312" customFormat="1" collapsed="1" x14ac:dyDescent="0.3">
      <c r="A190" s="312" t="s">
        <v>376</v>
      </c>
      <c r="B190" s="312" t="s">
        <v>199</v>
      </c>
      <c r="C190" s="27">
        <v>2</v>
      </c>
      <c r="D190" s="129" t="s">
        <v>695</v>
      </c>
      <c r="E190" s="306" t="s">
        <v>301</v>
      </c>
      <c r="F190" s="307"/>
      <c r="G190" s="307"/>
      <c r="H190" s="307"/>
      <c r="I190" s="307"/>
      <c r="J190" s="307"/>
      <c r="K190" s="307"/>
      <c r="L190" s="310"/>
      <c r="M190" s="308"/>
      <c r="N190" s="309"/>
      <c r="O190" s="308"/>
      <c r="P190" s="308">
        <f>SUM(P189)</f>
        <v>5</v>
      </c>
      <c r="Q190" s="308">
        <f>SUM(Q189)</f>
        <v>5</v>
      </c>
      <c r="R190" s="235">
        <f xml:space="preserve"> 10^(LOG(Q190/P190)/LOG(Q$6/P$6)-1)</f>
        <v>0.1</v>
      </c>
      <c r="S190" s="308">
        <f ca="1">SUM(S189)</f>
        <v>5</v>
      </c>
      <c r="T190" s="235">
        <f ca="1">IFERROR(10^(LOG(U190/S190)/LOG(Q_prototype)-1),0)</f>
        <v>0.1</v>
      </c>
      <c r="U190" s="308">
        <f ca="1">SUM(U189)</f>
        <v>5</v>
      </c>
      <c r="V190" s="311"/>
      <c r="W190" s="260" t="s">
        <v>690</v>
      </c>
      <c r="X190" s="311"/>
      <c r="Y190" s="310">
        <f t="shared" ref="Y190:AL190" ca="1" si="89">SUMPRODUCT($U189,Y189)</f>
        <v>0</v>
      </c>
      <c r="Z190" s="310">
        <f t="shared" ca="1" si="89"/>
        <v>0</v>
      </c>
      <c r="AA190" s="310">
        <f t="shared" ca="1" si="89"/>
        <v>0</v>
      </c>
      <c r="AB190" s="310">
        <f t="shared" ca="1" si="89"/>
        <v>0</v>
      </c>
      <c r="AC190" s="310">
        <f t="shared" ca="1" si="89"/>
        <v>0</v>
      </c>
      <c r="AD190" s="310">
        <f t="shared" ca="1" si="89"/>
        <v>0</v>
      </c>
      <c r="AE190" s="310">
        <f t="shared" ca="1" si="89"/>
        <v>0</v>
      </c>
      <c r="AF190" s="310">
        <f t="shared" ca="1" si="89"/>
        <v>0</v>
      </c>
      <c r="AG190" s="310">
        <f t="shared" ca="1" si="89"/>
        <v>0</v>
      </c>
      <c r="AH190" s="310">
        <f t="shared" ca="1" si="89"/>
        <v>5</v>
      </c>
      <c r="AI190" s="310">
        <f t="shared" ca="1" si="89"/>
        <v>0</v>
      </c>
      <c r="AJ190" s="310">
        <f t="shared" ca="1" si="89"/>
        <v>0</v>
      </c>
      <c r="AK190" s="310">
        <f t="shared" ca="1" si="89"/>
        <v>0</v>
      </c>
      <c r="AL190" s="310">
        <f t="shared" ca="1" si="89"/>
        <v>0</v>
      </c>
      <c r="AM190" s="311"/>
      <c r="AN190" s="308">
        <f t="shared" ca="1" si="59"/>
        <v>5</v>
      </c>
      <c r="AO190" s="308">
        <f ca="1">SUM(AO189)</f>
        <v>5</v>
      </c>
      <c r="AP190" s="308">
        <f ca="1">SUM(AP189)</f>
        <v>300</v>
      </c>
      <c r="AQ190" s="458">
        <f ca="1">AP190-U190*(1+employer_contributions)*average_wage</f>
        <v>0</v>
      </c>
    </row>
    <row r="191" spans="1:43" hidden="1" outlineLevel="1" x14ac:dyDescent="0.3">
      <c r="C191"/>
      <c r="D191" s="139"/>
      <c r="E191" s="128"/>
      <c r="L191" s="27"/>
      <c r="M191" s="27"/>
      <c r="N191" s="27"/>
      <c r="P191" s="311"/>
      <c r="Q191" s="311"/>
      <c r="R191" s="276"/>
      <c r="S191" s="311"/>
      <c r="T191" s="276"/>
      <c r="U191" s="311"/>
      <c r="V191"/>
      <c r="X191"/>
      <c r="Y191" s="26"/>
      <c r="AP191" s="311"/>
      <c r="AQ191" s="260">
        <f t="shared" si="62"/>
        <v>0</v>
      </c>
    </row>
    <row r="192" spans="1:43" s="312" customFormat="1" collapsed="1" x14ac:dyDescent="0.3">
      <c r="A192" s="347"/>
      <c r="B192" s="312" t="s">
        <v>199</v>
      </c>
      <c r="C192" s="27">
        <v>3</v>
      </c>
      <c r="D192" s="129" t="s">
        <v>695</v>
      </c>
      <c r="E192" s="313" t="s">
        <v>699</v>
      </c>
      <c r="F192" s="313"/>
      <c r="G192" s="313"/>
      <c r="H192" s="313"/>
      <c r="I192" s="313"/>
      <c r="J192" s="313"/>
      <c r="K192" s="313"/>
      <c r="L192" s="314"/>
      <c r="M192" s="314"/>
      <c r="N192" s="314"/>
      <c r="O192" s="314"/>
      <c r="P192" s="314">
        <f>P163+P171+P179+P187+P190</f>
        <v>34</v>
      </c>
      <c r="Q192" s="314">
        <f>Q163+Q171+Q179+Q187+Q190</f>
        <v>34</v>
      </c>
      <c r="R192" s="272">
        <f xml:space="preserve"> 10^(LOG(Q192/P192)/LOG(Q$6/P$6)-1)</f>
        <v>0.1</v>
      </c>
      <c r="S192" s="314">
        <f ca="1">S190+S187+S179+S163+S171</f>
        <v>34</v>
      </c>
      <c r="T192" s="405">
        <f ca="1">IFERROR(10^(LOG(U192/S192)/LOG(Q_prototype)-1),0)</f>
        <v>0.1</v>
      </c>
      <c r="U192" s="314">
        <f ca="1">U190+U187+U179+U163+U171</f>
        <v>34</v>
      </c>
      <c r="V192" s="334"/>
      <c r="W192" s="260" t="s">
        <v>690</v>
      </c>
      <c r="X192" s="334"/>
      <c r="Y192" s="313">
        <f t="shared" ref="Y192:AL192" ca="1" si="90">Y190+Y187+Y179+Y163+Y171</f>
        <v>0</v>
      </c>
      <c r="Z192" s="313">
        <f t="shared" ca="1" si="90"/>
        <v>1</v>
      </c>
      <c r="AA192" s="313">
        <f t="shared" ca="1" si="90"/>
        <v>1</v>
      </c>
      <c r="AB192" s="313">
        <f t="shared" ca="1" si="90"/>
        <v>3.5</v>
      </c>
      <c r="AC192" s="313">
        <f t="shared" ca="1" si="90"/>
        <v>3.5</v>
      </c>
      <c r="AD192" s="313">
        <f t="shared" ca="1" si="90"/>
        <v>5</v>
      </c>
      <c r="AE192" s="313">
        <f t="shared" ca="1" si="90"/>
        <v>5</v>
      </c>
      <c r="AF192" s="313">
        <f t="shared" ca="1" si="90"/>
        <v>5</v>
      </c>
      <c r="AG192" s="313">
        <f t="shared" ca="1" si="90"/>
        <v>5</v>
      </c>
      <c r="AH192" s="313">
        <f t="shared" ca="1" si="90"/>
        <v>5</v>
      </c>
      <c r="AI192" s="313">
        <f t="shared" ca="1" si="90"/>
        <v>0</v>
      </c>
      <c r="AJ192" s="313">
        <f t="shared" ca="1" si="90"/>
        <v>0</v>
      </c>
      <c r="AK192" s="313">
        <f t="shared" ca="1" si="90"/>
        <v>0</v>
      </c>
      <c r="AL192" s="340">
        <f t="shared" ca="1" si="90"/>
        <v>0</v>
      </c>
      <c r="AM192" s="337"/>
      <c r="AN192" s="314">
        <f t="shared" ca="1" si="59"/>
        <v>34</v>
      </c>
      <c r="AO192" s="314"/>
      <c r="AP192" s="314">
        <f ca="1">AP190+AP187+AP179+AP163+AP171</f>
        <v>2040</v>
      </c>
      <c r="AQ192" s="458">
        <f ca="1">AP192-U192*(1+employer_contributions)*average_wage</f>
        <v>0</v>
      </c>
    </row>
    <row r="193" spans="1:43" s="9" customFormat="1" x14ac:dyDescent="0.3">
      <c r="B193" s="26" t="s">
        <v>199</v>
      </c>
      <c r="C193" s="27">
        <v>3.5</v>
      </c>
      <c r="D193" s="129" t="s">
        <v>692</v>
      </c>
      <c r="E193" s="139" t="s">
        <v>683</v>
      </c>
      <c r="R193" s="267"/>
      <c r="S193" s="264"/>
      <c r="T193" s="267"/>
      <c r="U193" s="264">
        <f>S193*(10*T193)^LOG(Q_prototype)</f>
        <v>0</v>
      </c>
      <c r="W193" s="9" t="s">
        <v>692</v>
      </c>
      <c r="Y193" s="385">
        <f t="shared" ref="Y193:AL193" ca="1" si="91">Y192*2</f>
        <v>0</v>
      </c>
      <c r="Z193" s="385">
        <f t="shared" ca="1" si="91"/>
        <v>2</v>
      </c>
      <c r="AA193" s="385">
        <f t="shared" ca="1" si="91"/>
        <v>2</v>
      </c>
      <c r="AB193" s="385">
        <f t="shared" ca="1" si="91"/>
        <v>7</v>
      </c>
      <c r="AC193" s="385">
        <f t="shared" ca="1" si="91"/>
        <v>7</v>
      </c>
      <c r="AD193" s="385">
        <f t="shared" ca="1" si="91"/>
        <v>10</v>
      </c>
      <c r="AE193" s="385">
        <f t="shared" ca="1" si="91"/>
        <v>10</v>
      </c>
      <c r="AF193" s="385">
        <f t="shared" ca="1" si="91"/>
        <v>10</v>
      </c>
      <c r="AG193" s="385">
        <f t="shared" ca="1" si="91"/>
        <v>10</v>
      </c>
      <c r="AH193" s="385">
        <f t="shared" ca="1" si="91"/>
        <v>10</v>
      </c>
      <c r="AI193" s="385">
        <f t="shared" ca="1" si="91"/>
        <v>0</v>
      </c>
      <c r="AJ193" s="385">
        <f t="shared" ca="1" si="91"/>
        <v>0</v>
      </c>
      <c r="AK193" s="385">
        <f t="shared" ca="1" si="91"/>
        <v>0</v>
      </c>
      <c r="AL193" s="385">
        <f t="shared" ca="1" si="91"/>
        <v>0</v>
      </c>
      <c r="AN193" s="406">
        <f t="shared" ca="1" si="59"/>
        <v>68</v>
      </c>
      <c r="AO193" s="406"/>
      <c r="AP193" s="264"/>
      <c r="AQ193" s="260"/>
    </row>
    <row r="194" spans="1:43" x14ac:dyDescent="0.3">
      <c r="C194"/>
      <c r="D194" s="139"/>
      <c r="E194"/>
      <c r="F194"/>
      <c r="G194"/>
      <c r="L194" s="27"/>
      <c r="M194" s="27"/>
      <c r="N194" s="27"/>
      <c r="O194" s="27"/>
      <c r="Q194" s="27"/>
      <c r="V194"/>
      <c r="X194"/>
      <c r="Y194" s="139"/>
      <c r="AB194" s="139"/>
      <c r="AC194" s="139"/>
      <c r="AD194" s="139"/>
      <c r="AE194" s="139"/>
      <c r="AF194" s="139"/>
      <c r="AG194" s="139"/>
      <c r="AH194" s="139"/>
      <c r="AI194" s="139"/>
      <c r="AJ194" s="139"/>
      <c r="AK194" s="139"/>
      <c r="AQ194" s="260"/>
    </row>
    <row r="195" spans="1:43" hidden="1" outlineLevel="1" x14ac:dyDescent="0.3">
      <c r="B195" s="26" t="s">
        <v>199</v>
      </c>
      <c r="C195" s="27">
        <v>9</v>
      </c>
      <c r="D195" s="129" t="s">
        <v>707</v>
      </c>
      <c r="E195" s="289" t="s">
        <v>423</v>
      </c>
      <c r="F195" s="25"/>
      <c r="G195" s="25"/>
      <c r="L195" s="27"/>
      <c r="M195" s="27"/>
      <c r="N195" s="27"/>
      <c r="O195" s="27"/>
      <c r="Q195" s="27"/>
      <c r="V195"/>
      <c r="W195" s="260"/>
      <c r="X195"/>
      <c r="Y195" s="139"/>
      <c r="AA195" s="139"/>
      <c r="AB195" s="139"/>
      <c r="AC195" s="139"/>
      <c r="AD195" s="139"/>
      <c r="AE195" s="139"/>
      <c r="AF195" s="139"/>
      <c r="AG195" s="139"/>
      <c r="AH195" s="139"/>
      <c r="AI195" s="139"/>
      <c r="AJ195" s="139"/>
      <c r="AK195" s="139"/>
      <c r="AQ195" s="260"/>
    </row>
    <row r="196" spans="1:43" hidden="1" outlineLevel="1" x14ac:dyDescent="0.3">
      <c r="A196" s="26" t="s">
        <v>574</v>
      </c>
      <c r="B196" s="26" t="s">
        <v>199</v>
      </c>
      <c r="C196" s="27">
        <v>1</v>
      </c>
      <c r="D196" s="129" t="s">
        <v>707</v>
      </c>
      <c r="E196" s="286" t="s">
        <v>380</v>
      </c>
      <c r="F196" s="128"/>
      <c r="G196" s="128"/>
      <c r="H196" s="128"/>
      <c r="I196" s="128"/>
      <c r="J196" s="128"/>
      <c r="K196" s="128"/>
      <c r="L196" s="165"/>
      <c r="M196" s="165"/>
      <c r="N196" s="165"/>
      <c r="O196" s="128"/>
      <c r="P196" s="165"/>
      <c r="Q196" s="165"/>
      <c r="R196" s="328"/>
      <c r="S196" s="329"/>
      <c r="T196" s="396">
        <v>0.1</v>
      </c>
      <c r="U196" s="329">
        <f>S196*(10*T196)^LOG(Q_prototype)</f>
        <v>0</v>
      </c>
      <c r="V196"/>
      <c r="W196" s="26" t="s">
        <v>704</v>
      </c>
      <c r="X196"/>
      <c r="Y196" s="413">
        <f t="shared" ref="Y196:AL196" si="92">Y159</f>
        <v>0</v>
      </c>
      <c r="Z196" s="415">
        <f t="shared" si="92"/>
        <v>1</v>
      </c>
      <c r="AA196" s="413">
        <f t="shared" si="92"/>
        <v>0</v>
      </c>
      <c r="AB196" s="413">
        <f t="shared" si="92"/>
        <v>0</v>
      </c>
      <c r="AC196" s="413">
        <f t="shared" si="92"/>
        <v>0</v>
      </c>
      <c r="AD196" s="413">
        <f t="shared" si="92"/>
        <v>0</v>
      </c>
      <c r="AE196" s="413">
        <f t="shared" si="92"/>
        <v>0</v>
      </c>
      <c r="AF196" s="413">
        <f t="shared" si="92"/>
        <v>0</v>
      </c>
      <c r="AG196" s="413">
        <f t="shared" si="92"/>
        <v>0</v>
      </c>
      <c r="AH196" s="413">
        <f t="shared" si="92"/>
        <v>0</v>
      </c>
      <c r="AI196" s="413">
        <f t="shared" si="92"/>
        <v>0</v>
      </c>
      <c r="AJ196" s="413">
        <f t="shared" si="92"/>
        <v>0</v>
      </c>
      <c r="AK196" s="413">
        <f t="shared" si="92"/>
        <v>0</v>
      </c>
      <c r="AL196" s="413">
        <f t="shared" si="92"/>
        <v>0</v>
      </c>
      <c r="AM196" s="193"/>
      <c r="AN196" s="408">
        <f t="shared" si="59"/>
        <v>1</v>
      </c>
      <c r="AO196" s="399">
        <f>AN196*U196</f>
        <v>0</v>
      </c>
      <c r="AP196" s="329">
        <f>U196*AN196</f>
        <v>0</v>
      </c>
      <c r="AQ196" s="260">
        <f t="shared" si="62"/>
        <v>0</v>
      </c>
    </row>
    <row r="197" spans="1:43" hidden="1" outlineLevel="1" x14ac:dyDescent="0.3">
      <c r="A197" s="26" t="s">
        <v>574</v>
      </c>
      <c r="B197" s="26" t="s">
        <v>199</v>
      </c>
      <c r="C197" s="27">
        <v>1</v>
      </c>
      <c r="D197" s="129" t="s">
        <v>707</v>
      </c>
      <c r="E197" s="286" t="s">
        <v>381</v>
      </c>
      <c r="F197" s="128"/>
      <c r="G197" s="128"/>
      <c r="H197" s="128"/>
      <c r="I197" s="128"/>
      <c r="J197" s="128"/>
      <c r="K197" s="128"/>
      <c r="L197" s="165"/>
      <c r="M197" s="165"/>
      <c r="N197" s="165"/>
      <c r="O197" s="128"/>
      <c r="P197" s="165"/>
      <c r="Q197" s="165"/>
      <c r="R197" s="328"/>
      <c r="S197" s="329"/>
      <c r="T197" s="396">
        <v>0.1</v>
      </c>
      <c r="U197" s="329">
        <f>S197*(10*T197)^LOG(Q_prototype)</f>
        <v>0</v>
      </c>
      <c r="V197"/>
      <c r="W197" s="26" t="s">
        <v>704</v>
      </c>
      <c r="X197"/>
      <c r="Y197" s="413">
        <f t="shared" ref="Y197:AL197" si="93">Y160</f>
        <v>0</v>
      </c>
      <c r="Z197" s="413">
        <f t="shared" si="93"/>
        <v>0</v>
      </c>
      <c r="AA197" s="413">
        <f t="shared" si="93"/>
        <v>0</v>
      </c>
      <c r="AB197" s="413">
        <f t="shared" si="93"/>
        <v>0</v>
      </c>
      <c r="AC197" s="413">
        <f t="shared" si="93"/>
        <v>0</v>
      </c>
      <c r="AD197" s="413">
        <f t="shared" si="93"/>
        <v>0</v>
      </c>
      <c r="AE197" s="413">
        <f t="shared" si="93"/>
        <v>0</v>
      </c>
      <c r="AF197" s="413">
        <f t="shared" si="93"/>
        <v>0</v>
      </c>
      <c r="AG197" s="413">
        <f t="shared" si="93"/>
        <v>0</v>
      </c>
      <c r="AH197" s="413">
        <f t="shared" si="93"/>
        <v>0</v>
      </c>
      <c r="AI197" s="413">
        <f t="shared" si="93"/>
        <v>0</v>
      </c>
      <c r="AJ197" s="413">
        <f t="shared" si="93"/>
        <v>0</v>
      </c>
      <c r="AK197" s="413">
        <f t="shared" si="93"/>
        <v>0</v>
      </c>
      <c r="AL197" s="413">
        <f t="shared" si="93"/>
        <v>0</v>
      </c>
      <c r="AM197" s="193"/>
      <c r="AN197" s="408">
        <f t="shared" si="59"/>
        <v>0</v>
      </c>
      <c r="AO197" s="399">
        <f>AN197*U197</f>
        <v>0</v>
      </c>
      <c r="AP197" s="329">
        <f>U197*AN197</f>
        <v>0</v>
      </c>
      <c r="AQ197" s="260">
        <f t="shared" si="62"/>
        <v>0</v>
      </c>
    </row>
    <row r="198" spans="1:43" hidden="1" outlineLevel="1" x14ac:dyDescent="0.3">
      <c r="A198" s="26" t="s">
        <v>574</v>
      </c>
      <c r="B198" s="26" t="s">
        <v>199</v>
      </c>
      <c r="C198" s="27">
        <v>1</v>
      </c>
      <c r="D198" s="129" t="s">
        <v>707</v>
      </c>
      <c r="E198" s="286" t="s">
        <v>382</v>
      </c>
      <c r="F198" s="128"/>
      <c r="G198" s="128"/>
      <c r="H198" s="128"/>
      <c r="I198" s="128"/>
      <c r="J198" s="128"/>
      <c r="K198" s="128"/>
      <c r="L198" s="165"/>
      <c r="M198" s="165"/>
      <c r="N198" s="165"/>
      <c r="O198" s="128"/>
      <c r="P198" s="165"/>
      <c r="Q198" s="165"/>
      <c r="R198" s="328"/>
      <c r="S198" s="329"/>
      <c r="T198" s="396">
        <v>0.1</v>
      </c>
      <c r="U198" s="329">
        <f>S198*(10*T198)^LOG(Q_prototype)</f>
        <v>0</v>
      </c>
      <c r="V198"/>
      <c r="W198" s="26" t="s">
        <v>704</v>
      </c>
      <c r="X198"/>
      <c r="Y198" s="413">
        <f t="shared" ref="Y198:AL198" si="94">Y161</f>
        <v>0</v>
      </c>
      <c r="Z198" s="413">
        <f t="shared" si="94"/>
        <v>0</v>
      </c>
      <c r="AA198" s="413">
        <f t="shared" si="94"/>
        <v>0</v>
      </c>
      <c r="AB198" s="413">
        <f t="shared" si="94"/>
        <v>0</v>
      </c>
      <c r="AC198" s="413">
        <f t="shared" si="94"/>
        <v>0</v>
      </c>
      <c r="AD198" s="413">
        <f t="shared" si="94"/>
        <v>0</v>
      </c>
      <c r="AE198" s="413">
        <f t="shared" si="94"/>
        <v>0</v>
      </c>
      <c r="AF198" s="413">
        <f t="shared" si="94"/>
        <v>0</v>
      </c>
      <c r="AG198" s="413">
        <f t="shared" si="94"/>
        <v>0</v>
      </c>
      <c r="AH198" s="413">
        <f t="shared" si="94"/>
        <v>0</v>
      </c>
      <c r="AI198" s="413">
        <f t="shared" si="94"/>
        <v>0</v>
      </c>
      <c r="AJ198" s="413">
        <f t="shared" si="94"/>
        <v>0</v>
      </c>
      <c r="AK198" s="413">
        <f t="shared" si="94"/>
        <v>0</v>
      </c>
      <c r="AL198" s="413">
        <f t="shared" si="94"/>
        <v>0</v>
      </c>
      <c r="AM198" s="193"/>
      <c r="AN198" s="408">
        <f t="shared" si="59"/>
        <v>0</v>
      </c>
      <c r="AO198" s="399">
        <f>AN198*U198</f>
        <v>0</v>
      </c>
      <c r="AP198" s="329">
        <f>U198*AN198</f>
        <v>0</v>
      </c>
      <c r="AQ198" s="260">
        <f t="shared" si="62"/>
        <v>0</v>
      </c>
    </row>
    <row r="199" spans="1:43" hidden="1" outlineLevel="1" x14ac:dyDescent="0.3">
      <c r="A199" s="144" t="s">
        <v>574</v>
      </c>
      <c r="B199" s="144" t="s">
        <v>199</v>
      </c>
      <c r="C199" s="27">
        <v>1</v>
      </c>
      <c r="D199" s="129" t="s">
        <v>707</v>
      </c>
      <c r="E199" s="304" t="s">
        <v>383</v>
      </c>
      <c r="F199" s="141"/>
      <c r="G199" s="141"/>
      <c r="H199" s="141"/>
      <c r="I199" s="141"/>
      <c r="J199" s="141"/>
      <c r="K199" s="141"/>
      <c r="L199" s="188"/>
      <c r="M199" s="188"/>
      <c r="N199" s="188"/>
      <c r="O199" s="141"/>
      <c r="P199" s="292">
        <v>50</v>
      </c>
      <c r="Q199" s="319">
        <f>P199</f>
        <v>50</v>
      </c>
      <c r="R199" s="269">
        <f>IFERROR(10^(LOG(Q199/P199)/LOG(Q$6/P$6)-1),0)</f>
        <v>0.1</v>
      </c>
      <c r="S199" s="399">
        <f ca="1">IFERROR(P199*(10*R199)^LOG(wing_area/ref_wing_area),0)</f>
        <v>50</v>
      </c>
      <c r="T199" s="397">
        <v>0.1</v>
      </c>
      <c r="U199" s="399">
        <f ca="1">S199*(10*T199)^LOG(Q_prototype)</f>
        <v>50</v>
      </c>
      <c r="V199"/>
      <c r="W199" s="26" t="s">
        <v>704</v>
      </c>
      <c r="X199"/>
      <c r="Y199" s="414">
        <f t="shared" ref="Y199:AL199" si="95">Y162</f>
        <v>0</v>
      </c>
      <c r="Z199" s="414">
        <f t="shared" si="95"/>
        <v>0</v>
      </c>
      <c r="AA199" s="416">
        <f t="shared" si="95"/>
        <v>1</v>
      </c>
      <c r="AB199" s="414">
        <f t="shared" si="95"/>
        <v>0</v>
      </c>
      <c r="AC199" s="414">
        <f t="shared" si="95"/>
        <v>0</v>
      </c>
      <c r="AD199" s="414">
        <f t="shared" si="95"/>
        <v>0</v>
      </c>
      <c r="AE199" s="414">
        <f t="shared" si="95"/>
        <v>0</v>
      </c>
      <c r="AF199" s="414">
        <f t="shared" si="95"/>
        <v>0</v>
      </c>
      <c r="AG199" s="414">
        <f t="shared" si="95"/>
        <v>0</v>
      </c>
      <c r="AH199" s="414">
        <f t="shared" si="95"/>
        <v>0</v>
      </c>
      <c r="AI199" s="414">
        <f t="shared" si="95"/>
        <v>0</v>
      </c>
      <c r="AJ199" s="414">
        <f t="shared" si="95"/>
        <v>0</v>
      </c>
      <c r="AK199" s="414">
        <f t="shared" si="95"/>
        <v>0</v>
      </c>
      <c r="AL199" s="414">
        <f t="shared" si="95"/>
        <v>0</v>
      </c>
      <c r="AM199" s="193"/>
      <c r="AN199" s="409">
        <f t="shared" ref="AN199:AN242" si="96">SUM(Y199:AM199)</f>
        <v>1</v>
      </c>
      <c r="AO199" s="399">
        <f ca="1">AN199*U199</f>
        <v>50</v>
      </c>
      <c r="AP199" s="399">
        <f ca="1">U199*AN199</f>
        <v>50</v>
      </c>
      <c r="AQ199" s="260">
        <f t="shared" ca="1" si="62"/>
        <v>0</v>
      </c>
    </row>
    <row r="200" spans="1:43" collapsed="1" x14ac:dyDescent="0.3">
      <c r="A200" s="26" t="s">
        <v>574</v>
      </c>
      <c r="B200" s="26" t="s">
        <v>199</v>
      </c>
      <c r="C200" s="27">
        <v>2</v>
      </c>
      <c r="D200" s="129" t="s">
        <v>707</v>
      </c>
      <c r="E200" s="279" t="s">
        <v>384</v>
      </c>
      <c r="F200" s="239"/>
      <c r="G200" s="239"/>
      <c r="H200" s="239"/>
      <c r="I200" s="239"/>
      <c r="J200" s="239"/>
      <c r="K200" s="239"/>
      <c r="L200" s="236"/>
      <c r="M200" s="237"/>
      <c r="N200" s="238"/>
      <c r="O200" s="237"/>
      <c r="P200" s="234">
        <f>SUM(P196:P199)</f>
        <v>50</v>
      </c>
      <c r="Q200" s="234">
        <f>SUM(Q196:Q199)</f>
        <v>50</v>
      </c>
      <c r="R200" s="235">
        <f xml:space="preserve"> 10^(LOG(Q200/P200)/LOG(Q$6/P$6)-1)</f>
        <v>0.1</v>
      </c>
      <c r="S200" s="234">
        <f ca="1">SUM(S196:S199)</f>
        <v>50</v>
      </c>
      <c r="T200" s="235">
        <f ca="1">IFERROR(10^(LOG(U200/S200)/LOG(Q_prototype)-1),0)</f>
        <v>0.1</v>
      </c>
      <c r="U200" s="234">
        <f ca="1">SUM(U196:U199)</f>
        <v>50</v>
      </c>
      <c r="V200" s="27"/>
      <c r="W200" s="260" t="s">
        <v>305</v>
      </c>
      <c r="X200" s="27"/>
      <c r="Y200" s="261">
        <f t="shared" ref="Y200:AL200" ca="1" si="97">SUMPRODUCT($U196:$U199,Y196:Y199)</f>
        <v>0</v>
      </c>
      <c r="Z200" s="261">
        <f t="shared" ca="1" si="97"/>
        <v>0</v>
      </c>
      <c r="AA200" s="261">
        <f t="shared" ca="1" si="97"/>
        <v>50</v>
      </c>
      <c r="AB200" s="261">
        <f t="shared" ca="1" si="97"/>
        <v>0</v>
      </c>
      <c r="AC200" s="261">
        <f t="shared" ca="1" si="97"/>
        <v>0</v>
      </c>
      <c r="AD200" s="261">
        <f t="shared" ca="1" si="97"/>
        <v>0</v>
      </c>
      <c r="AE200" s="261">
        <f t="shared" ca="1" si="97"/>
        <v>0</v>
      </c>
      <c r="AF200" s="261">
        <f t="shared" ca="1" si="97"/>
        <v>0</v>
      </c>
      <c r="AG200" s="261">
        <f t="shared" ca="1" si="97"/>
        <v>0</v>
      </c>
      <c r="AH200" s="261">
        <f t="shared" ca="1" si="97"/>
        <v>0</v>
      </c>
      <c r="AI200" s="261">
        <f t="shared" ca="1" si="97"/>
        <v>0</v>
      </c>
      <c r="AJ200" s="261">
        <f t="shared" ca="1" si="97"/>
        <v>0</v>
      </c>
      <c r="AK200" s="261">
        <f t="shared" ca="1" si="97"/>
        <v>0</v>
      </c>
      <c r="AL200" s="261">
        <f t="shared" ca="1" si="97"/>
        <v>0</v>
      </c>
      <c r="AM200" s="167"/>
      <c r="AN200" s="234">
        <f t="shared" ca="1" si="96"/>
        <v>50</v>
      </c>
      <c r="AO200" s="308"/>
      <c r="AP200" s="234">
        <f ca="1">SUM(AP196:AP199)</f>
        <v>50</v>
      </c>
      <c r="AQ200" s="260">
        <f t="shared" ca="1" si="62"/>
        <v>0</v>
      </c>
    </row>
    <row r="201" spans="1:43" hidden="1" outlineLevel="1" x14ac:dyDescent="0.3">
      <c r="C201"/>
      <c r="D201" s="139"/>
      <c r="E201" s="174"/>
      <c r="F201" s="242"/>
      <c r="G201" s="242"/>
      <c r="H201" s="242"/>
      <c r="I201" s="242"/>
      <c r="J201" s="242"/>
      <c r="K201" s="242"/>
      <c r="L201" s="241"/>
      <c r="M201" s="241"/>
      <c r="N201" s="241"/>
      <c r="O201" s="242"/>
      <c r="P201" s="241"/>
      <c r="Q201" s="241"/>
      <c r="R201" s="277"/>
      <c r="S201" s="259"/>
      <c r="T201" s="277"/>
      <c r="U201" s="259"/>
      <c r="V201"/>
      <c r="X201"/>
      <c r="Z201" s="260"/>
      <c r="AA201" s="260"/>
      <c r="AB201" s="260"/>
      <c r="AC201" s="260"/>
      <c r="AD201" s="260"/>
      <c r="AE201" s="260"/>
      <c r="AF201" s="260"/>
      <c r="AG201" s="260"/>
      <c r="AH201" s="260"/>
      <c r="AI201" s="260"/>
      <c r="AJ201" s="260"/>
      <c r="AK201" s="260"/>
      <c r="AL201" s="260"/>
      <c r="AO201" s="422"/>
      <c r="AP201" s="259"/>
      <c r="AQ201" s="260">
        <f t="shared" si="62"/>
        <v>0</v>
      </c>
    </row>
    <row r="202" spans="1:43" hidden="1" outlineLevel="1" x14ac:dyDescent="0.3">
      <c r="A202" s="26" t="s">
        <v>574</v>
      </c>
      <c r="B202" s="26" t="s">
        <v>199</v>
      </c>
      <c r="C202" s="27">
        <v>1</v>
      </c>
      <c r="D202" s="129" t="s">
        <v>707</v>
      </c>
      <c r="E202" s="281" t="s">
        <v>385</v>
      </c>
      <c r="F202" s="174"/>
      <c r="G202" s="174"/>
      <c r="H202" s="174"/>
      <c r="I202" s="174"/>
      <c r="J202" s="174"/>
      <c r="K202" s="174"/>
      <c r="L202" s="241"/>
      <c r="M202" s="241"/>
      <c r="N202" s="241"/>
      <c r="O202" s="174"/>
      <c r="P202" s="241"/>
      <c r="Q202" s="241"/>
      <c r="R202" s="400"/>
      <c r="S202" s="401"/>
      <c r="T202" s="396">
        <v>0.1</v>
      </c>
      <c r="U202" s="401">
        <f t="shared" ref="U202:U207" si="98">S202*(10*T202)^LOG(Q_prototype)</f>
        <v>0</v>
      </c>
      <c r="V202"/>
      <c r="W202" s="26" t="s">
        <v>704</v>
      </c>
      <c r="X202"/>
      <c r="Y202" s="413">
        <f t="shared" ref="Y202:AL202" si="99">Y165</f>
        <v>0</v>
      </c>
      <c r="Z202" s="415">
        <f t="shared" si="99"/>
        <v>0</v>
      </c>
      <c r="AA202" s="413">
        <f t="shared" si="99"/>
        <v>0</v>
      </c>
      <c r="AB202" s="413">
        <f t="shared" si="99"/>
        <v>0.5</v>
      </c>
      <c r="AC202" s="413">
        <f t="shared" si="99"/>
        <v>0.5</v>
      </c>
      <c r="AD202" s="413">
        <f t="shared" si="99"/>
        <v>0</v>
      </c>
      <c r="AE202" s="413">
        <f t="shared" si="99"/>
        <v>0</v>
      </c>
      <c r="AF202" s="413">
        <f t="shared" si="99"/>
        <v>0</v>
      </c>
      <c r="AG202" s="413">
        <f t="shared" si="99"/>
        <v>0</v>
      </c>
      <c r="AH202" s="413">
        <f t="shared" si="99"/>
        <v>0</v>
      </c>
      <c r="AI202" s="413">
        <f t="shared" si="99"/>
        <v>0</v>
      </c>
      <c r="AJ202" s="413">
        <f t="shared" si="99"/>
        <v>0</v>
      </c>
      <c r="AK202" s="413">
        <f t="shared" si="99"/>
        <v>0</v>
      </c>
      <c r="AL202" s="413">
        <f t="shared" si="99"/>
        <v>0</v>
      </c>
      <c r="AM202" s="193"/>
      <c r="AN202" s="408">
        <f t="shared" si="96"/>
        <v>1</v>
      </c>
      <c r="AO202" s="399">
        <f t="shared" ref="AO202:AO207" si="100">AN202*U202</f>
        <v>0</v>
      </c>
      <c r="AP202" s="401">
        <f t="shared" ref="AP202:AP207" si="101">U202*AN202</f>
        <v>0</v>
      </c>
      <c r="AQ202" s="260">
        <f t="shared" si="62"/>
        <v>0</v>
      </c>
    </row>
    <row r="203" spans="1:43" hidden="1" outlineLevel="1" x14ac:dyDescent="0.3">
      <c r="A203" s="26" t="s">
        <v>574</v>
      </c>
      <c r="B203" s="26" t="s">
        <v>199</v>
      </c>
      <c r="C203" s="27">
        <v>1</v>
      </c>
      <c r="D203" s="129" t="s">
        <v>707</v>
      </c>
      <c r="E203" s="281" t="s">
        <v>381</v>
      </c>
      <c r="F203" s="174"/>
      <c r="G203" s="174"/>
      <c r="H203" s="174"/>
      <c r="I203" s="174"/>
      <c r="J203" s="174"/>
      <c r="K203" s="174"/>
      <c r="L203" s="241"/>
      <c r="M203" s="241"/>
      <c r="N203" s="241"/>
      <c r="O203" s="174"/>
      <c r="P203" s="241"/>
      <c r="Q203" s="241"/>
      <c r="R203" s="400"/>
      <c r="S203" s="401"/>
      <c r="T203" s="396">
        <v>0.1</v>
      </c>
      <c r="U203" s="401">
        <f t="shared" si="98"/>
        <v>0</v>
      </c>
      <c r="V203"/>
      <c r="W203" s="26" t="s">
        <v>704</v>
      </c>
      <c r="X203"/>
      <c r="Y203" s="413">
        <f t="shared" ref="Y203:AL203" si="102">Y166</f>
        <v>0</v>
      </c>
      <c r="Z203" s="415">
        <f t="shared" si="102"/>
        <v>0</v>
      </c>
      <c r="AA203" s="413">
        <f t="shared" si="102"/>
        <v>0</v>
      </c>
      <c r="AB203" s="413">
        <f t="shared" si="102"/>
        <v>1</v>
      </c>
      <c r="AC203" s="413">
        <f t="shared" si="102"/>
        <v>0</v>
      </c>
      <c r="AD203" s="413">
        <f t="shared" si="102"/>
        <v>0</v>
      </c>
      <c r="AE203" s="413">
        <f t="shared" si="102"/>
        <v>0</v>
      </c>
      <c r="AF203" s="413">
        <f t="shared" si="102"/>
        <v>0</v>
      </c>
      <c r="AG203" s="413">
        <f t="shared" si="102"/>
        <v>0</v>
      </c>
      <c r="AH203" s="413">
        <f t="shared" si="102"/>
        <v>0</v>
      </c>
      <c r="AI203" s="413">
        <f t="shared" si="102"/>
        <v>0</v>
      </c>
      <c r="AJ203" s="413">
        <f t="shared" si="102"/>
        <v>0</v>
      </c>
      <c r="AK203" s="413">
        <f t="shared" si="102"/>
        <v>0</v>
      </c>
      <c r="AL203" s="413">
        <f t="shared" si="102"/>
        <v>0</v>
      </c>
      <c r="AM203" s="193"/>
      <c r="AN203" s="408">
        <f t="shared" si="96"/>
        <v>1</v>
      </c>
      <c r="AO203" s="399">
        <f t="shared" si="100"/>
        <v>0</v>
      </c>
      <c r="AP203" s="401">
        <f t="shared" si="101"/>
        <v>0</v>
      </c>
      <c r="AQ203" s="260">
        <f t="shared" si="62"/>
        <v>0</v>
      </c>
    </row>
    <row r="204" spans="1:43" hidden="1" outlineLevel="1" x14ac:dyDescent="0.3">
      <c r="A204" s="26" t="s">
        <v>574</v>
      </c>
      <c r="B204" s="26" t="s">
        <v>199</v>
      </c>
      <c r="C204" s="27">
        <v>1</v>
      </c>
      <c r="D204" s="129" t="s">
        <v>707</v>
      </c>
      <c r="E204" s="281" t="s">
        <v>382</v>
      </c>
      <c r="F204" s="174"/>
      <c r="G204" s="174"/>
      <c r="H204" s="174"/>
      <c r="I204" s="174"/>
      <c r="J204" s="174"/>
      <c r="K204" s="174"/>
      <c r="L204" s="241"/>
      <c r="M204" s="241"/>
      <c r="N204" s="241"/>
      <c r="O204" s="174"/>
      <c r="P204" s="241"/>
      <c r="Q204" s="241"/>
      <c r="R204" s="400"/>
      <c r="S204" s="401"/>
      <c r="T204" s="396">
        <v>0.1</v>
      </c>
      <c r="U204" s="401">
        <f t="shared" si="98"/>
        <v>0</v>
      </c>
      <c r="V204"/>
      <c r="W204" s="26" t="s">
        <v>704</v>
      </c>
      <c r="X204"/>
      <c r="Y204" s="413">
        <f t="shared" ref="Y204:AL204" si="103">Y167</f>
        <v>0</v>
      </c>
      <c r="Z204" s="415">
        <f t="shared" si="103"/>
        <v>0</v>
      </c>
      <c r="AA204" s="413">
        <f t="shared" si="103"/>
        <v>0</v>
      </c>
      <c r="AB204" s="413">
        <f t="shared" si="103"/>
        <v>0</v>
      </c>
      <c r="AC204" s="413">
        <f t="shared" si="103"/>
        <v>1</v>
      </c>
      <c r="AD204" s="413">
        <f t="shared" si="103"/>
        <v>0</v>
      </c>
      <c r="AE204" s="413">
        <f t="shared" si="103"/>
        <v>0</v>
      </c>
      <c r="AF204" s="413">
        <f t="shared" si="103"/>
        <v>0</v>
      </c>
      <c r="AG204" s="413">
        <f t="shared" si="103"/>
        <v>0</v>
      </c>
      <c r="AH204" s="413">
        <f t="shared" si="103"/>
        <v>0</v>
      </c>
      <c r="AI204" s="413">
        <f t="shared" si="103"/>
        <v>0</v>
      </c>
      <c r="AJ204" s="413">
        <f t="shared" si="103"/>
        <v>0</v>
      </c>
      <c r="AK204" s="413">
        <f t="shared" si="103"/>
        <v>0</v>
      </c>
      <c r="AL204" s="413">
        <f t="shared" si="103"/>
        <v>0</v>
      </c>
      <c r="AM204" s="193"/>
      <c r="AN204" s="408">
        <f t="shared" si="96"/>
        <v>1</v>
      </c>
      <c r="AO204" s="399">
        <f t="shared" si="100"/>
        <v>0</v>
      </c>
      <c r="AP204" s="401">
        <f t="shared" si="101"/>
        <v>0</v>
      </c>
      <c r="AQ204" s="260">
        <f t="shared" si="62"/>
        <v>0</v>
      </c>
    </row>
    <row r="205" spans="1:43" hidden="1" outlineLevel="1" x14ac:dyDescent="0.3">
      <c r="A205" s="26" t="s">
        <v>574</v>
      </c>
      <c r="B205" s="26" t="s">
        <v>199</v>
      </c>
      <c r="C205" s="27">
        <v>1</v>
      </c>
      <c r="D205" s="129" t="s">
        <v>707</v>
      </c>
      <c r="E205" s="281" t="s">
        <v>386</v>
      </c>
      <c r="F205" s="174"/>
      <c r="G205" s="174"/>
      <c r="H205" s="174"/>
      <c r="I205" s="174"/>
      <c r="J205" s="174"/>
      <c r="K205" s="174"/>
      <c r="L205" s="241"/>
      <c r="M205" s="241"/>
      <c r="N205" s="241"/>
      <c r="O205" s="174"/>
      <c r="P205" s="232">
        <v>200</v>
      </c>
      <c r="Q205" s="233">
        <f>P205</f>
        <v>200</v>
      </c>
      <c r="R205" s="378">
        <f xml:space="preserve"> 10^(LOG(Q205/P205)/LOG(Q$6/P$6)-1)</f>
        <v>0.1</v>
      </c>
      <c r="S205" s="119">
        <f ca="1">P205*(10*R205)^LOG(wing_area/ref_wing_area)</f>
        <v>200</v>
      </c>
      <c r="T205" s="396">
        <v>0.1</v>
      </c>
      <c r="U205" s="119">
        <f t="shared" ca="1" si="98"/>
        <v>200</v>
      </c>
      <c r="V205"/>
      <c r="W205" s="26" t="s">
        <v>704</v>
      </c>
      <c r="X205"/>
      <c r="Y205" s="413">
        <f t="shared" ref="Y205:AL205" si="104">Y168</f>
        <v>0</v>
      </c>
      <c r="Z205" s="415">
        <f t="shared" si="104"/>
        <v>0</v>
      </c>
      <c r="AA205" s="413">
        <f t="shared" si="104"/>
        <v>0</v>
      </c>
      <c r="AB205" s="413">
        <f t="shared" si="104"/>
        <v>0.5</v>
      </c>
      <c r="AC205" s="413">
        <f t="shared" si="104"/>
        <v>0.5</v>
      </c>
      <c r="AD205" s="413">
        <f t="shared" si="104"/>
        <v>0</v>
      </c>
      <c r="AE205" s="413">
        <f t="shared" si="104"/>
        <v>0</v>
      </c>
      <c r="AF205" s="413">
        <f t="shared" si="104"/>
        <v>0</v>
      </c>
      <c r="AG205" s="413">
        <f t="shared" si="104"/>
        <v>0</v>
      </c>
      <c r="AH205" s="413">
        <f t="shared" si="104"/>
        <v>0</v>
      </c>
      <c r="AI205" s="413">
        <f t="shared" si="104"/>
        <v>0</v>
      </c>
      <c r="AJ205" s="413">
        <f t="shared" si="104"/>
        <v>0</v>
      </c>
      <c r="AK205" s="413">
        <f t="shared" si="104"/>
        <v>0</v>
      </c>
      <c r="AL205" s="413">
        <f t="shared" si="104"/>
        <v>0</v>
      </c>
      <c r="AM205" s="193"/>
      <c r="AN205" s="408">
        <f t="shared" si="96"/>
        <v>1</v>
      </c>
      <c r="AO205" s="399">
        <f t="shared" ca="1" si="100"/>
        <v>200</v>
      </c>
      <c r="AP205" s="119">
        <f t="shared" ca="1" si="101"/>
        <v>200</v>
      </c>
      <c r="AQ205" s="260">
        <f t="shared" ref="AQ205:AQ243" ca="1" si="105">AP205-U205</f>
        <v>0</v>
      </c>
    </row>
    <row r="206" spans="1:43" hidden="1" outlineLevel="1" x14ac:dyDescent="0.3">
      <c r="A206" s="26" t="s">
        <v>574</v>
      </c>
      <c r="B206" s="26" t="s">
        <v>199</v>
      </c>
      <c r="C206" s="27">
        <v>1</v>
      </c>
      <c r="D206" s="129" t="s">
        <v>707</v>
      </c>
      <c r="E206" s="281" t="s">
        <v>387</v>
      </c>
      <c r="F206" s="174"/>
      <c r="G206" s="174"/>
      <c r="H206" s="174"/>
      <c r="I206" s="174"/>
      <c r="J206" s="174"/>
      <c r="K206" s="174"/>
      <c r="L206" s="241"/>
      <c r="M206" s="241"/>
      <c r="N206" s="241"/>
      <c r="O206" s="174"/>
      <c r="P206" s="241"/>
      <c r="Q206" s="241"/>
      <c r="R206" s="400"/>
      <c r="S206" s="401"/>
      <c r="T206" s="396">
        <v>0.1</v>
      </c>
      <c r="U206" s="401">
        <f t="shared" si="98"/>
        <v>0</v>
      </c>
      <c r="V206"/>
      <c r="W206" s="26" t="s">
        <v>704</v>
      </c>
      <c r="X206"/>
      <c r="Y206" s="413">
        <f t="shared" ref="Y206:AL206" si="106">Y169</f>
        <v>0</v>
      </c>
      <c r="Z206" s="415">
        <f t="shared" si="106"/>
        <v>0</v>
      </c>
      <c r="AA206" s="413">
        <f t="shared" si="106"/>
        <v>0</v>
      </c>
      <c r="AB206" s="413">
        <f t="shared" si="106"/>
        <v>0.5</v>
      </c>
      <c r="AC206" s="413">
        <f t="shared" si="106"/>
        <v>0.5</v>
      </c>
      <c r="AD206" s="413">
        <f t="shared" si="106"/>
        <v>0</v>
      </c>
      <c r="AE206" s="413">
        <f t="shared" si="106"/>
        <v>0</v>
      </c>
      <c r="AF206" s="413">
        <f t="shared" si="106"/>
        <v>0</v>
      </c>
      <c r="AG206" s="413">
        <f t="shared" si="106"/>
        <v>0</v>
      </c>
      <c r="AH206" s="413">
        <f t="shared" si="106"/>
        <v>0</v>
      </c>
      <c r="AI206" s="413">
        <f t="shared" si="106"/>
        <v>0</v>
      </c>
      <c r="AJ206" s="413">
        <f t="shared" si="106"/>
        <v>0</v>
      </c>
      <c r="AK206" s="413">
        <f t="shared" si="106"/>
        <v>0</v>
      </c>
      <c r="AL206" s="413">
        <f t="shared" si="106"/>
        <v>0</v>
      </c>
      <c r="AM206" s="193"/>
      <c r="AN206" s="408">
        <f t="shared" si="96"/>
        <v>1</v>
      </c>
      <c r="AO206" s="399">
        <f t="shared" si="100"/>
        <v>0</v>
      </c>
      <c r="AP206" s="401">
        <f t="shared" si="101"/>
        <v>0</v>
      </c>
      <c r="AQ206" s="260">
        <f t="shared" si="105"/>
        <v>0</v>
      </c>
    </row>
    <row r="207" spans="1:43" hidden="1" outlineLevel="1" x14ac:dyDescent="0.3">
      <c r="A207" s="26" t="s">
        <v>574</v>
      </c>
      <c r="B207" s="26" t="s">
        <v>199</v>
      </c>
      <c r="C207" s="27">
        <v>1</v>
      </c>
      <c r="D207" s="129" t="s">
        <v>707</v>
      </c>
      <c r="E207" s="282" t="s">
        <v>388</v>
      </c>
      <c r="F207" s="189"/>
      <c r="G207" s="189"/>
      <c r="H207" s="189"/>
      <c r="I207" s="189"/>
      <c r="J207" s="189"/>
      <c r="K207" s="189"/>
      <c r="L207" s="330"/>
      <c r="M207" s="330"/>
      <c r="N207" s="330"/>
      <c r="O207" s="189"/>
      <c r="P207" s="330"/>
      <c r="Q207" s="330"/>
      <c r="R207" s="402"/>
      <c r="S207" s="403"/>
      <c r="T207" s="397">
        <v>0.1</v>
      </c>
      <c r="U207" s="403">
        <f t="shared" si="98"/>
        <v>0</v>
      </c>
      <c r="V207"/>
      <c r="W207" s="26" t="s">
        <v>704</v>
      </c>
      <c r="X207"/>
      <c r="Y207" s="414">
        <f t="shared" ref="Y207:AL207" si="107">Y170</f>
        <v>0</v>
      </c>
      <c r="Z207" s="416">
        <f t="shared" si="107"/>
        <v>0</v>
      </c>
      <c r="AA207" s="414">
        <f t="shared" si="107"/>
        <v>0</v>
      </c>
      <c r="AB207" s="414">
        <f t="shared" si="107"/>
        <v>0.5</v>
      </c>
      <c r="AC207" s="414">
        <f t="shared" si="107"/>
        <v>0.5</v>
      </c>
      <c r="AD207" s="414">
        <f t="shared" si="107"/>
        <v>0</v>
      </c>
      <c r="AE207" s="414">
        <f t="shared" si="107"/>
        <v>0</v>
      </c>
      <c r="AF207" s="414">
        <f t="shared" si="107"/>
        <v>0</v>
      </c>
      <c r="AG207" s="414">
        <f t="shared" si="107"/>
        <v>0</v>
      </c>
      <c r="AH207" s="414">
        <f t="shared" si="107"/>
        <v>0</v>
      </c>
      <c r="AI207" s="414">
        <f t="shared" si="107"/>
        <v>0</v>
      </c>
      <c r="AJ207" s="414">
        <f t="shared" si="107"/>
        <v>0</v>
      </c>
      <c r="AK207" s="414">
        <f t="shared" si="107"/>
        <v>0</v>
      </c>
      <c r="AL207" s="414">
        <f t="shared" si="107"/>
        <v>0</v>
      </c>
      <c r="AM207" s="193"/>
      <c r="AN207" s="409">
        <f t="shared" si="96"/>
        <v>1</v>
      </c>
      <c r="AO207" s="399">
        <f t="shared" si="100"/>
        <v>0</v>
      </c>
      <c r="AP207" s="403">
        <f t="shared" si="101"/>
        <v>0</v>
      </c>
      <c r="AQ207" s="260">
        <f t="shared" si="105"/>
        <v>0</v>
      </c>
    </row>
    <row r="208" spans="1:43" collapsed="1" x14ac:dyDescent="0.3">
      <c r="A208" s="26" t="s">
        <v>574</v>
      </c>
      <c r="B208" s="26" t="s">
        <v>199</v>
      </c>
      <c r="C208" s="27">
        <v>2</v>
      </c>
      <c r="D208" s="129" t="s">
        <v>707</v>
      </c>
      <c r="E208" s="279" t="s">
        <v>564</v>
      </c>
      <c r="F208" s="239"/>
      <c r="G208" s="239"/>
      <c r="H208" s="239"/>
      <c r="I208" s="239"/>
      <c r="J208" s="239"/>
      <c r="K208" s="239"/>
      <c r="L208" s="236"/>
      <c r="M208" s="237"/>
      <c r="N208" s="238"/>
      <c r="O208" s="237"/>
      <c r="P208" s="234">
        <f>SUM(P202:P207)</f>
        <v>200</v>
      </c>
      <c r="Q208" s="234">
        <f>SUM(Q202:Q207)</f>
        <v>200</v>
      </c>
      <c r="R208" s="235">
        <f xml:space="preserve"> 10^(LOG(Q208/P208)/LOG(Q$6/P$6)-1)</f>
        <v>0.1</v>
      </c>
      <c r="S208" s="234">
        <f ca="1">SUM(S202:S207)</f>
        <v>200</v>
      </c>
      <c r="T208" s="235">
        <f ca="1">IFERROR(10^(LOG(U208/S208)/LOG(Q_prototype)-1),0)</f>
        <v>0.1</v>
      </c>
      <c r="U208" s="234">
        <f ca="1">SUM(U202:U207)</f>
        <v>200</v>
      </c>
      <c r="V208" s="27"/>
      <c r="W208" s="260" t="s">
        <v>305</v>
      </c>
      <c r="X208" s="27"/>
      <c r="Y208" s="261">
        <f t="shared" ref="Y208:AL208" ca="1" si="108">SUMPRODUCT($U202:$U207,Y202:Y207)</f>
        <v>0</v>
      </c>
      <c r="Z208" s="261">
        <f t="shared" ca="1" si="108"/>
        <v>0</v>
      </c>
      <c r="AA208" s="261">
        <f t="shared" ca="1" si="108"/>
        <v>0</v>
      </c>
      <c r="AB208" s="261">
        <f t="shared" ca="1" si="108"/>
        <v>100</v>
      </c>
      <c r="AC208" s="261">
        <f t="shared" ca="1" si="108"/>
        <v>100</v>
      </c>
      <c r="AD208" s="261">
        <f t="shared" ca="1" si="108"/>
        <v>0</v>
      </c>
      <c r="AE208" s="261">
        <f t="shared" ca="1" si="108"/>
        <v>0</v>
      </c>
      <c r="AF208" s="261">
        <f t="shared" ca="1" si="108"/>
        <v>0</v>
      </c>
      <c r="AG208" s="261">
        <f t="shared" ca="1" si="108"/>
        <v>0</v>
      </c>
      <c r="AH208" s="261">
        <f t="shared" ca="1" si="108"/>
        <v>0</v>
      </c>
      <c r="AI208" s="261">
        <f t="shared" ca="1" si="108"/>
        <v>0</v>
      </c>
      <c r="AJ208" s="261">
        <f t="shared" ca="1" si="108"/>
        <v>0</v>
      </c>
      <c r="AK208" s="261">
        <f t="shared" ca="1" si="108"/>
        <v>0</v>
      </c>
      <c r="AL208" s="261">
        <f t="shared" ca="1" si="108"/>
        <v>0</v>
      </c>
      <c r="AM208" s="167"/>
      <c r="AN208" s="234">
        <f t="shared" ca="1" si="96"/>
        <v>200</v>
      </c>
      <c r="AO208" s="308"/>
      <c r="AP208" s="234">
        <f ca="1">SUM(AP202:AP207)</f>
        <v>200</v>
      </c>
      <c r="AQ208" s="260">
        <f t="shared" ca="1" si="105"/>
        <v>0</v>
      </c>
    </row>
    <row r="209" spans="1:43" hidden="1" outlineLevel="1" x14ac:dyDescent="0.3">
      <c r="C209"/>
      <c r="D209" s="139"/>
      <c r="E209" s="128"/>
      <c r="L209" s="27"/>
      <c r="M209" s="27"/>
      <c r="N209" s="27"/>
      <c r="Q209" s="27"/>
      <c r="R209" s="276"/>
      <c r="T209" s="276"/>
      <c r="V209"/>
      <c r="X209"/>
      <c r="Z209" s="260"/>
      <c r="AA209" s="260"/>
      <c r="AB209" s="260"/>
      <c r="AC209" s="260"/>
      <c r="AD209" s="260"/>
      <c r="AE209" s="260"/>
      <c r="AF209" s="260"/>
      <c r="AG209" s="260"/>
      <c r="AH209" s="260"/>
      <c r="AI209" s="260"/>
      <c r="AJ209" s="260"/>
      <c r="AK209" s="260"/>
      <c r="AL209" s="260"/>
      <c r="AQ209" s="260">
        <f t="shared" si="105"/>
        <v>0</v>
      </c>
    </row>
    <row r="210" spans="1:43" hidden="1" outlineLevel="1" x14ac:dyDescent="0.3">
      <c r="A210" s="26" t="s">
        <v>574</v>
      </c>
      <c r="B210" s="26" t="s">
        <v>199</v>
      </c>
      <c r="C210" s="27">
        <v>1</v>
      </c>
      <c r="D210" s="129" t="s">
        <v>707</v>
      </c>
      <c r="E210" s="286" t="s">
        <v>385</v>
      </c>
      <c r="F210" s="128"/>
      <c r="G210" s="128"/>
      <c r="H210" s="128"/>
      <c r="I210" s="128"/>
      <c r="J210" s="128"/>
      <c r="K210" s="128"/>
      <c r="L210" s="27"/>
      <c r="M210" s="27"/>
      <c r="N210" s="27"/>
      <c r="O210" s="128"/>
      <c r="P210" s="131">
        <v>500</v>
      </c>
      <c r="Q210" s="240">
        <f t="shared" ref="Q210:Q215" si="109">P210</f>
        <v>500</v>
      </c>
      <c r="R210" s="298">
        <f t="shared" ref="R210:R216" si="110" xml:space="preserve"> 10^(LOG(Q210/P210)/LOG(Q$6/P$6)-1)</f>
        <v>0.1</v>
      </c>
      <c r="S210" s="119">
        <f t="shared" ref="S210:S215" ca="1" si="111">P210*(10*R210)^LOG(wing_area/ref_wing_area)</f>
        <v>500</v>
      </c>
      <c r="T210" s="396">
        <v>0.1</v>
      </c>
      <c r="U210" s="119">
        <f t="shared" ref="U210:U215" ca="1" si="112">S210*(10*T210)^LOG(Q_prototype)</f>
        <v>500</v>
      </c>
      <c r="V210"/>
      <c r="W210" s="26" t="s">
        <v>704</v>
      </c>
      <c r="X210"/>
      <c r="Y210" s="413">
        <f t="shared" ref="Y210:AL210" si="113">Y173</f>
        <v>0</v>
      </c>
      <c r="Z210" s="415">
        <f t="shared" si="113"/>
        <v>0</v>
      </c>
      <c r="AA210" s="413">
        <f t="shared" si="113"/>
        <v>0</v>
      </c>
      <c r="AB210" s="413">
        <f t="shared" si="113"/>
        <v>0</v>
      </c>
      <c r="AC210" s="413">
        <f t="shared" si="113"/>
        <v>0</v>
      </c>
      <c r="AD210" s="413">
        <f t="shared" si="113"/>
        <v>0.5</v>
      </c>
      <c r="AE210" s="413">
        <f t="shared" si="113"/>
        <v>0.5</v>
      </c>
      <c r="AF210" s="413">
        <f t="shared" si="113"/>
        <v>0</v>
      </c>
      <c r="AG210" s="413">
        <f t="shared" si="113"/>
        <v>0</v>
      </c>
      <c r="AH210" s="413">
        <f t="shared" si="113"/>
        <v>0</v>
      </c>
      <c r="AI210" s="413">
        <f t="shared" si="113"/>
        <v>0</v>
      </c>
      <c r="AJ210" s="413">
        <f t="shared" si="113"/>
        <v>0</v>
      </c>
      <c r="AK210" s="413">
        <f t="shared" si="113"/>
        <v>0</v>
      </c>
      <c r="AL210" s="413">
        <f t="shared" si="113"/>
        <v>0</v>
      </c>
      <c r="AM210" s="193"/>
      <c r="AN210" s="408">
        <f t="shared" si="96"/>
        <v>1</v>
      </c>
      <c r="AO210" s="399">
        <f t="shared" ref="AO210:AO215" ca="1" si="114">AN210*U210</f>
        <v>500</v>
      </c>
      <c r="AP210" s="119">
        <f t="shared" ref="AP210:AP215" ca="1" si="115">U210*AN210</f>
        <v>500</v>
      </c>
      <c r="AQ210" s="260">
        <f t="shared" ca="1" si="105"/>
        <v>0</v>
      </c>
    </row>
    <row r="211" spans="1:43" hidden="1" outlineLevel="1" x14ac:dyDescent="0.3">
      <c r="A211" s="26" t="s">
        <v>574</v>
      </c>
      <c r="B211" s="26" t="s">
        <v>199</v>
      </c>
      <c r="C211" s="27">
        <v>1</v>
      </c>
      <c r="D211" s="129" t="s">
        <v>707</v>
      </c>
      <c r="E211" s="286" t="s">
        <v>381</v>
      </c>
      <c r="F211" s="128"/>
      <c r="G211" s="128"/>
      <c r="H211" s="128"/>
      <c r="I211" s="128"/>
      <c r="J211" s="128"/>
      <c r="K211" s="128"/>
      <c r="L211" s="27"/>
      <c r="M211" s="27"/>
      <c r="N211" s="27"/>
      <c r="O211" s="128"/>
      <c r="P211" s="131">
        <v>500</v>
      </c>
      <c r="Q211" s="240">
        <f t="shared" si="109"/>
        <v>500</v>
      </c>
      <c r="R211" s="298">
        <f t="shared" si="110"/>
        <v>0.1</v>
      </c>
      <c r="S211" s="119">
        <f t="shared" ca="1" si="111"/>
        <v>500</v>
      </c>
      <c r="T211" s="396">
        <v>0.1</v>
      </c>
      <c r="U211" s="119">
        <f t="shared" ca="1" si="112"/>
        <v>500</v>
      </c>
      <c r="V211"/>
      <c r="W211" s="26" t="s">
        <v>704</v>
      </c>
      <c r="X211"/>
      <c r="Y211" s="413">
        <f t="shared" ref="Y211:AL211" si="116">Y174</f>
        <v>0</v>
      </c>
      <c r="Z211" s="415">
        <f t="shared" si="116"/>
        <v>0</v>
      </c>
      <c r="AA211" s="413">
        <f t="shared" si="116"/>
        <v>0</v>
      </c>
      <c r="AB211" s="413">
        <f t="shared" si="116"/>
        <v>0</v>
      </c>
      <c r="AC211" s="413">
        <f t="shared" si="116"/>
        <v>0</v>
      </c>
      <c r="AD211" s="413">
        <f t="shared" si="116"/>
        <v>0.5</v>
      </c>
      <c r="AE211" s="413">
        <f t="shared" si="116"/>
        <v>0.5</v>
      </c>
      <c r="AF211" s="413">
        <f t="shared" si="116"/>
        <v>0</v>
      </c>
      <c r="AG211" s="413">
        <f t="shared" si="116"/>
        <v>0</v>
      </c>
      <c r="AH211" s="413">
        <f t="shared" si="116"/>
        <v>0</v>
      </c>
      <c r="AI211" s="413">
        <f t="shared" si="116"/>
        <v>0</v>
      </c>
      <c r="AJ211" s="413">
        <f t="shared" si="116"/>
        <v>0</v>
      </c>
      <c r="AK211" s="413">
        <f t="shared" si="116"/>
        <v>0</v>
      </c>
      <c r="AL211" s="413">
        <f t="shared" si="116"/>
        <v>0</v>
      </c>
      <c r="AM211" s="193"/>
      <c r="AN211" s="408">
        <f t="shared" si="96"/>
        <v>1</v>
      </c>
      <c r="AO211" s="399">
        <f t="shared" ca="1" si="114"/>
        <v>500</v>
      </c>
      <c r="AP211" s="119">
        <f t="shared" ca="1" si="115"/>
        <v>500</v>
      </c>
      <c r="AQ211" s="260">
        <f t="shared" ca="1" si="105"/>
        <v>0</v>
      </c>
    </row>
    <row r="212" spans="1:43" hidden="1" outlineLevel="1" x14ac:dyDescent="0.3">
      <c r="A212" s="26" t="s">
        <v>574</v>
      </c>
      <c r="B212" s="26" t="s">
        <v>199</v>
      </c>
      <c r="C212" s="27">
        <v>1</v>
      </c>
      <c r="D212" s="129" t="s">
        <v>707</v>
      </c>
      <c r="E212" s="286" t="s">
        <v>382</v>
      </c>
      <c r="F212" s="128"/>
      <c r="G212" s="128"/>
      <c r="H212" s="128"/>
      <c r="I212" s="128"/>
      <c r="J212" s="128"/>
      <c r="K212" s="128"/>
      <c r="L212" s="27"/>
      <c r="M212" s="27"/>
      <c r="N212" s="27"/>
      <c r="O212" s="128"/>
      <c r="P212" s="131">
        <v>500</v>
      </c>
      <c r="Q212" s="240">
        <f t="shared" si="109"/>
        <v>500</v>
      </c>
      <c r="R212" s="298">
        <f t="shared" si="110"/>
        <v>0.1</v>
      </c>
      <c r="S212" s="119">
        <f t="shared" ca="1" si="111"/>
        <v>500</v>
      </c>
      <c r="T212" s="396">
        <v>0.1</v>
      </c>
      <c r="U212" s="119">
        <f t="shared" ca="1" si="112"/>
        <v>500</v>
      </c>
      <c r="V212"/>
      <c r="W212" s="26" t="s">
        <v>704</v>
      </c>
      <c r="X212"/>
      <c r="Y212" s="413">
        <f t="shared" ref="Y212:AL212" si="117">Y175</f>
        <v>0</v>
      </c>
      <c r="Z212" s="415">
        <f t="shared" si="117"/>
        <v>0</v>
      </c>
      <c r="AA212" s="413">
        <f t="shared" si="117"/>
        <v>0</v>
      </c>
      <c r="AB212" s="413">
        <f t="shared" si="117"/>
        <v>0</v>
      </c>
      <c r="AC212" s="413">
        <f t="shared" si="117"/>
        <v>0</v>
      </c>
      <c r="AD212" s="413">
        <f t="shared" si="117"/>
        <v>0.5</v>
      </c>
      <c r="AE212" s="413">
        <f t="shared" si="117"/>
        <v>0.5</v>
      </c>
      <c r="AF212" s="413">
        <f t="shared" si="117"/>
        <v>0</v>
      </c>
      <c r="AG212" s="413">
        <f t="shared" si="117"/>
        <v>0</v>
      </c>
      <c r="AH212" s="413">
        <f t="shared" si="117"/>
        <v>0</v>
      </c>
      <c r="AI212" s="413">
        <f t="shared" si="117"/>
        <v>0</v>
      </c>
      <c r="AJ212" s="413">
        <f t="shared" si="117"/>
        <v>0</v>
      </c>
      <c r="AK212" s="413">
        <f t="shared" si="117"/>
        <v>0</v>
      </c>
      <c r="AL212" s="413">
        <f t="shared" si="117"/>
        <v>0</v>
      </c>
      <c r="AM212" s="193"/>
      <c r="AN212" s="408">
        <f t="shared" si="96"/>
        <v>1</v>
      </c>
      <c r="AO212" s="399">
        <f t="shared" ca="1" si="114"/>
        <v>500</v>
      </c>
      <c r="AP212" s="119">
        <f t="shared" ca="1" si="115"/>
        <v>500</v>
      </c>
      <c r="AQ212" s="260">
        <f t="shared" ca="1" si="105"/>
        <v>0</v>
      </c>
    </row>
    <row r="213" spans="1:43" hidden="1" outlineLevel="1" x14ac:dyDescent="0.3">
      <c r="A213" s="26" t="s">
        <v>574</v>
      </c>
      <c r="B213" s="26" t="s">
        <v>199</v>
      </c>
      <c r="C213" s="27">
        <v>1</v>
      </c>
      <c r="D213" s="129" t="s">
        <v>707</v>
      </c>
      <c r="E213" s="286" t="s">
        <v>386</v>
      </c>
      <c r="F213" s="128"/>
      <c r="G213" s="128"/>
      <c r="H213" s="128"/>
      <c r="I213" s="128"/>
      <c r="J213" s="128"/>
      <c r="K213" s="128"/>
      <c r="L213" s="27"/>
      <c r="M213" s="27"/>
      <c r="N213" s="27"/>
      <c r="O213" s="128"/>
      <c r="P213" s="131">
        <v>500</v>
      </c>
      <c r="Q213" s="240">
        <f t="shared" si="109"/>
        <v>500</v>
      </c>
      <c r="R213" s="298">
        <f t="shared" si="110"/>
        <v>0.1</v>
      </c>
      <c r="S213" s="119">
        <f t="shared" ca="1" si="111"/>
        <v>500</v>
      </c>
      <c r="T213" s="396">
        <v>0.1</v>
      </c>
      <c r="U213" s="119">
        <f t="shared" ca="1" si="112"/>
        <v>500</v>
      </c>
      <c r="V213"/>
      <c r="W213" s="26" t="s">
        <v>704</v>
      </c>
      <c r="X213"/>
      <c r="Y213" s="413">
        <f t="shared" ref="Y213:AL213" si="118">Y176</f>
        <v>0</v>
      </c>
      <c r="Z213" s="415">
        <f t="shared" si="118"/>
        <v>0</v>
      </c>
      <c r="AA213" s="413">
        <f t="shared" si="118"/>
        <v>0</v>
      </c>
      <c r="AB213" s="413">
        <f t="shared" si="118"/>
        <v>0</v>
      </c>
      <c r="AC213" s="413">
        <f t="shared" si="118"/>
        <v>0</v>
      </c>
      <c r="AD213" s="413">
        <f t="shared" si="118"/>
        <v>0.5</v>
      </c>
      <c r="AE213" s="413">
        <f t="shared" si="118"/>
        <v>0.5</v>
      </c>
      <c r="AF213" s="413">
        <f t="shared" si="118"/>
        <v>0</v>
      </c>
      <c r="AG213" s="413">
        <f t="shared" si="118"/>
        <v>0</v>
      </c>
      <c r="AH213" s="413">
        <f t="shared" si="118"/>
        <v>0</v>
      </c>
      <c r="AI213" s="413">
        <f t="shared" si="118"/>
        <v>0</v>
      </c>
      <c r="AJ213" s="413">
        <f t="shared" si="118"/>
        <v>0</v>
      </c>
      <c r="AK213" s="413">
        <f t="shared" si="118"/>
        <v>0</v>
      </c>
      <c r="AL213" s="413">
        <f t="shared" si="118"/>
        <v>0</v>
      </c>
      <c r="AM213" s="193"/>
      <c r="AN213" s="408">
        <f t="shared" si="96"/>
        <v>1</v>
      </c>
      <c r="AO213" s="399">
        <f t="shared" ca="1" si="114"/>
        <v>500</v>
      </c>
      <c r="AP213" s="119">
        <f t="shared" ca="1" si="115"/>
        <v>500</v>
      </c>
      <c r="AQ213" s="260">
        <f t="shared" ca="1" si="105"/>
        <v>0</v>
      </c>
    </row>
    <row r="214" spans="1:43" hidden="1" outlineLevel="1" x14ac:dyDescent="0.3">
      <c r="A214" s="26" t="s">
        <v>574</v>
      </c>
      <c r="B214" s="26" t="s">
        <v>199</v>
      </c>
      <c r="C214" s="27">
        <v>1</v>
      </c>
      <c r="D214" s="129" t="s">
        <v>707</v>
      </c>
      <c r="E214" s="286" t="s">
        <v>387</v>
      </c>
      <c r="F214" s="128"/>
      <c r="G214" s="128"/>
      <c r="H214" s="128"/>
      <c r="I214" s="128"/>
      <c r="J214" s="128"/>
      <c r="K214" s="128"/>
      <c r="L214" s="27"/>
      <c r="M214" s="27"/>
      <c r="N214" s="27"/>
      <c r="O214" s="128"/>
      <c r="P214" s="131">
        <v>100</v>
      </c>
      <c r="Q214" s="240">
        <f t="shared" si="109"/>
        <v>100</v>
      </c>
      <c r="R214" s="298">
        <f t="shared" si="110"/>
        <v>0.1</v>
      </c>
      <c r="S214" s="119">
        <f t="shared" ca="1" si="111"/>
        <v>100</v>
      </c>
      <c r="T214" s="396">
        <v>0.1</v>
      </c>
      <c r="U214" s="119">
        <f t="shared" ca="1" si="112"/>
        <v>100</v>
      </c>
      <c r="V214"/>
      <c r="W214" s="26" t="s">
        <v>704</v>
      </c>
      <c r="X214"/>
      <c r="Y214" s="413">
        <f t="shared" ref="Y214:AL214" si="119">Y177</f>
        <v>0</v>
      </c>
      <c r="Z214" s="415">
        <f t="shared" si="119"/>
        <v>0</v>
      </c>
      <c r="AA214" s="413">
        <f t="shared" si="119"/>
        <v>0</v>
      </c>
      <c r="AB214" s="413">
        <f t="shared" si="119"/>
        <v>0</v>
      </c>
      <c r="AC214" s="413">
        <f t="shared" si="119"/>
        <v>0</v>
      </c>
      <c r="AD214" s="413">
        <f t="shared" si="119"/>
        <v>0.5</v>
      </c>
      <c r="AE214" s="413">
        <f t="shared" si="119"/>
        <v>0.5</v>
      </c>
      <c r="AF214" s="413">
        <f t="shared" si="119"/>
        <v>0</v>
      </c>
      <c r="AG214" s="413">
        <f t="shared" si="119"/>
        <v>0</v>
      </c>
      <c r="AH214" s="413">
        <f t="shared" si="119"/>
        <v>0</v>
      </c>
      <c r="AI214" s="413">
        <f t="shared" si="119"/>
        <v>0</v>
      </c>
      <c r="AJ214" s="413">
        <f t="shared" si="119"/>
        <v>0</v>
      </c>
      <c r="AK214" s="413">
        <f t="shared" si="119"/>
        <v>0</v>
      </c>
      <c r="AL214" s="413">
        <f t="shared" si="119"/>
        <v>0</v>
      </c>
      <c r="AM214" s="193"/>
      <c r="AN214" s="408">
        <f t="shared" si="96"/>
        <v>1</v>
      </c>
      <c r="AO214" s="399">
        <f t="shared" ca="1" si="114"/>
        <v>100</v>
      </c>
      <c r="AP214" s="119">
        <f t="shared" ca="1" si="115"/>
        <v>100</v>
      </c>
      <c r="AQ214" s="260">
        <f t="shared" ca="1" si="105"/>
        <v>0</v>
      </c>
    </row>
    <row r="215" spans="1:43" hidden="1" outlineLevel="1" x14ac:dyDescent="0.3">
      <c r="A215" s="26" t="s">
        <v>574</v>
      </c>
      <c r="B215" s="26" t="s">
        <v>199</v>
      </c>
      <c r="C215" s="27">
        <v>1</v>
      </c>
      <c r="D215" s="129" t="s">
        <v>707</v>
      </c>
      <c r="E215" s="304" t="s">
        <v>388</v>
      </c>
      <c r="F215" s="141"/>
      <c r="G215" s="141"/>
      <c r="H215" s="141"/>
      <c r="I215" s="141"/>
      <c r="J215" s="141"/>
      <c r="K215" s="141"/>
      <c r="L215" s="188"/>
      <c r="M215" s="188"/>
      <c r="N215" s="188"/>
      <c r="O215" s="141"/>
      <c r="P215" s="184">
        <v>50</v>
      </c>
      <c r="Q215" s="331">
        <f t="shared" si="109"/>
        <v>50</v>
      </c>
      <c r="R215" s="269">
        <f t="shared" si="110"/>
        <v>0.1</v>
      </c>
      <c r="S215" s="178">
        <f t="shared" ca="1" si="111"/>
        <v>50</v>
      </c>
      <c r="T215" s="397">
        <v>0.1</v>
      </c>
      <c r="U215" s="178">
        <f t="shared" ca="1" si="112"/>
        <v>50</v>
      </c>
      <c r="V215"/>
      <c r="W215" s="26" t="s">
        <v>704</v>
      </c>
      <c r="X215"/>
      <c r="Y215" s="414">
        <f t="shared" ref="Y215:AL215" si="120">Y178</f>
        <v>0</v>
      </c>
      <c r="Z215" s="416">
        <f t="shared" si="120"/>
        <v>0</v>
      </c>
      <c r="AA215" s="414">
        <f t="shared" si="120"/>
        <v>0</v>
      </c>
      <c r="AB215" s="414">
        <f t="shared" si="120"/>
        <v>0</v>
      </c>
      <c r="AC215" s="414">
        <f t="shared" si="120"/>
        <v>0</v>
      </c>
      <c r="AD215" s="414">
        <f t="shared" si="120"/>
        <v>0.5</v>
      </c>
      <c r="AE215" s="414">
        <f t="shared" si="120"/>
        <v>0.5</v>
      </c>
      <c r="AF215" s="414">
        <f t="shared" si="120"/>
        <v>0</v>
      </c>
      <c r="AG215" s="414">
        <f t="shared" si="120"/>
        <v>0</v>
      </c>
      <c r="AH215" s="414">
        <f t="shared" si="120"/>
        <v>0</v>
      </c>
      <c r="AI215" s="414">
        <f t="shared" si="120"/>
        <v>0</v>
      </c>
      <c r="AJ215" s="414">
        <f t="shared" si="120"/>
        <v>0</v>
      </c>
      <c r="AK215" s="414">
        <f t="shared" si="120"/>
        <v>0</v>
      </c>
      <c r="AL215" s="414">
        <f t="shared" si="120"/>
        <v>0</v>
      </c>
      <c r="AM215" s="193"/>
      <c r="AN215" s="409">
        <f t="shared" si="96"/>
        <v>1</v>
      </c>
      <c r="AO215" s="399">
        <f t="shared" ca="1" si="114"/>
        <v>50</v>
      </c>
      <c r="AP215" s="178">
        <f t="shared" ca="1" si="115"/>
        <v>50</v>
      </c>
      <c r="AQ215" s="260">
        <f t="shared" ca="1" si="105"/>
        <v>0</v>
      </c>
    </row>
    <row r="216" spans="1:43" collapsed="1" x14ac:dyDescent="0.3">
      <c r="A216" s="26" t="s">
        <v>574</v>
      </c>
      <c r="B216" s="26" t="s">
        <v>199</v>
      </c>
      <c r="C216" s="27">
        <v>2</v>
      </c>
      <c r="D216" s="129" t="s">
        <v>707</v>
      </c>
      <c r="E216" s="279" t="s">
        <v>511</v>
      </c>
      <c r="F216" s="239"/>
      <c r="G216" s="239"/>
      <c r="H216" s="239"/>
      <c r="I216" s="239"/>
      <c r="J216" s="239"/>
      <c r="K216" s="239"/>
      <c r="L216" s="236"/>
      <c r="M216" s="237"/>
      <c r="N216" s="238"/>
      <c r="O216" s="237"/>
      <c r="P216" s="234">
        <f>SUM(P210:P215)</f>
        <v>2150</v>
      </c>
      <c r="Q216" s="234">
        <f>SUM(Q210:Q215)</f>
        <v>2150</v>
      </c>
      <c r="R216" s="235">
        <f t="shared" si="110"/>
        <v>0.1</v>
      </c>
      <c r="S216" s="234">
        <f ca="1">SUM(S210:S215)</f>
        <v>2150</v>
      </c>
      <c r="T216" s="235">
        <f ca="1">IFERROR(10^(LOG(U216/S216)/LOG(Q_prototype)-1),0)</f>
        <v>0.1</v>
      </c>
      <c r="U216" s="234">
        <f ca="1">SUM(U210:U215)</f>
        <v>2150</v>
      </c>
      <c r="V216" s="27"/>
      <c r="W216" s="260" t="s">
        <v>305</v>
      </c>
      <c r="X216" s="27"/>
      <c r="Y216" s="261">
        <f t="shared" ref="Y216:AL216" ca="1" si="121">SUMPRODUCT($U210:$U215,Y210:Y215)</f>
        <v>0</v>
      </c>
      <c r="Z216" s="261">
        <f t="shared" ca="1" si="121"/>
        <v>0</v>
      </c>
      <c r="AA216" s="261">
        <f t="shared" ca="1" si="121"/>
        <v>0</v>
      </c>
      <c r="AB216" s="261">
        <f t="shared" ca="1" si="121"/>
        <v>0</v>
      </c>
      <c r="AC216" s="261">
        <f t="shared" ca="1" si="121"/>
        <v>0</v>
      </c>
      <c r="AD216" s="261">
        <f t="shared" ca="1" si="121"/>
        <v>1075</v>
      </c>
      <c r="AE216" s="261">
        <f t="shared" ca="1" si="121"/>
        <v>1075</v>
      </c>
      <c r="AF216" s="261">
        <f t="shared" ca="1" si="121"/>
        <v>0</v>
      </c>
      <c r="AG216" s="261">
        <f t="shared" ca="1" si="121"/>
        <v>0</v>
      </c>
      <c r="AH216" s="261">
        <f t="shared" ca="1" si="121"/>
        <v>0</v>
      </c>
      <c r="AI216" s="261">
        <f t="shared" ca="1" si="121"/>
        <v>0</v>
      </c>
      <c r="AJ216" s="261">
        <f t="shared" ca="1" si="121"/>
        <v>0</v>
      </c>
      <c r="AK216" s="261">
        <f t="shared" ca="1" si="121"/>
        <v>0</v>
      </c>
      <c r="AL216" s="261">
        <f t="shared" ca="1" si="121"/>
        <v>0</v>
      </c>
      <c r="AM216" s="167"/>
      <c r="AN216" s="234">
        <f t="shared" ca="1" si="96"/>
        <v>2150</v>
      </c>
      <c r="AO216" s="308"/>
      <c r="AP216" s="234">
        <f ca="1">SUM(AP210:AP215)</f>
        <v>2150</v>
      </c>
      <c r="AQ216" s="260">
        <f t="shared" ca="1" si="105"/>
        <v>0</v>
      </c>
    </row>
    <row r="217" spans="1:43" hidden="1" outlineLevel="1" x14ac:dyDescent="0.3">
      <c r="C217"/>
      <c r="D217" s="139"/>
      <c r="E217" s="128"/>
      <c r="L217" s="27"/>
      <c r="M217" s="27"/>
      <c r="N217" s="27"/>
      <c r="Q217" s="27"/>
      <c r="R217" s="276"/>
      <c r="T217" s="276"/>
      <c r="V217"/>
      <c r="X217"/>
      <c r="Z217" s="260"/>
      <c r="AA217" s="260"/>
      <c r="AB217" s="260"/>
      <c r="AC217" s="260"/>
      <c r="AD217" s="260"/>
      <c r="AE217" s="260"/>
      <c r="AF217" s="260"/>
      <c r="AG217" s="260"/>
      <c r="AH217" s="260"/>
      <c r="AI217" s="260"/>
      <c r="AJ217" s="260"/>
      <c r="AK217" s="260"/>
      <c r="AL217" s="260"/>
      <c r="AQ217" s="260">
        <f t="shared" si="105"/>
        <v>0</v>
      </c>
    </row>
    <row r="218" spans="1:43" hidden="1" outlineLevel="1" x14ac:dyDescent="0.3">
      <c r="A218" s="26" t="s">
        <v>376</v>
      </c>
      <c r="B218" s="26" t="s">
        <v>199</v>
      </c>
      <c r="C218" s="27">
        <v>1</v>
      </c>
      <c r="D218" s="129" t="s">
        <v>707</v>
      </c>
      <c r="E218" s="286" t="s">
        <v>385</v>
      </c>
      <c r="F218" s="128"/>
      <c r="G218" s="128"/>
      <c r="H218" s="128"/>
      <c r="I218" s="128"/>
      <c r="J218" s="128"/>
      <c r="K218" s="128"/>
      <c r="L218" s="27"/>
      <c r="M218" s="27"/>
      <c r="N218" s="27"/>
      <c r="O218" s="128"/>
      <c r="P218" s="58">
        <v>500</v>
      </c>
      <c r="Q218" s="58">
        <v>1000</v>
      </c>
      <c r="R218" s="298">
        <f t="shared" ref="R218:R224" si="122" xml:space="preserve"> 10^(LOG(Q218/P218)/LOG(Q$6/P$6)-1)</f>
        <v>0.57078269456856334</v>
      </c>
      <c r="S218" s="32">
        <f t="shared" ref="S218:S223" ca="1" si="123">P218*(10*R218)^LOG(wing_area/ref_wing_area)</f>
        <v>147.98565116735014</v>
      </c>
      <c r="T218" s="396">
        <v>0.1</v>
      </c>
      <c r="U218" s="32">
        <f t="shared" ref="U218:U223" ca="1" si="124">S218*(10*T218)^LOG(Q_prototype)</f>
        <v>147.98565116735014</v>
      </c>
      <c r="V218"/>
      <c r="W218" s="26" t="s">
        <v>704</v>
      </c>
      <c r="X218"/>
      <c r="Y218" s="413">
        <f t="shared" ref="Y218:AL218" si="125">Y181</f>
        <v>0</v>
      </c>
      <c r="Z218" s="415">
        <f t="shared" si="125"/>
        <v>0</v>
      </c>
      <c r="AA218" s="413">
        <f t="shared" si="125"/>
        <v>0</v>
      </c>
      <c r="AB218" s="413">
        <f t="shared" si="125"/>
        <v>0</v>
      </c>
      <c r="AC218" s="413">
        <f t="shared" si="125"/>
        <v>0</v>
      </c>
      <c r="AD218" s="413">
        <f t="shared" si="125"/>
        <v>0</v>
      </c>
      <c r="AE218" s="413">
        <f t="shared" si="125"/>
        <v>0</v>
      </c>
      <c r="AF218" s="413">
        <f t="shared" si="125"/>
        <v>0.5</v>
      </c>
      <c r="AG218" s="413">
        <f t="shared" si="125"/>
        <v>0.5</v>
      </c>
      <c r="AH218" s="413">
        <f t="shared" si="125"/>
        <v>0</v>
      </c>
      <c r="AI218" s="413">
        <f t="shared" si="125"/>
        <v>0</v>
      </c>
      <c r="AJ218" s="413">
        <f t="shared" si="125"/>
        <v>0</v>
      </c>
      <c r="AK218" s="413">
        <f t="shared" si="125"/>
        <v>0</v>
      </c>
      <c r="AL218" s="413">
        <f t="shared" si="125"/>
        <v>0</v>
      </c>
      <c r="AM218" s="193"/>
      <c r="AN218" s="408">
        <f t="shared" si="96"/>
        <v>1</v>
      </c>
      <c r="AO218" s="399">
        <f t="shared" ref="AO218:AO223" ca="1" si="126">AN218*U218</f>
        <v>147.98565116735014</v>
      </c>
      <c r="AP218" s="32">
        <f t="shared" ref="AP218:AP223" ca="1" si="127">U218*AN218</f>
        <v>147.98565116735014</v>
      </c>
      <c r="AQ218" s="260">
        <f t="shared" ca="1" si="105"/>
        <v>0</v>
      </c>
    </row>
    <row r="219" spans="1:43" hidden="1" outlineLevel="1" x14ac:dyDescent="0.3">
      <c r="A219" s="26" t="s">
        <v>376</v>
      </c>
      <c r="B219" s="26" t="s">
        <v>199</v>
      </c>
      <c r="C219" s="27">
        <v>1</v>
      </c>
      <c r="D219" s="129" t="s">
        <v>707</v>
      </c>
      <c r="E219" s="286" t="s">
        <v>381</v>
      </c>
      <c r="F219" s="128"/>
      <c r="G219" s="128"/>
      <c r="H219" s="128"/>
      <c r="I219" s="128"/>
      <c r="J219" s="128"/>
      <c r="K219" s="128"/>
      <c r="L219" s="27"/>
      <c r="M219" s="27"/>
      <c r="N219" s="27"/>
      <c r="O219" s="128"/>
      <c r="P219" s="58">
        <v>500</v>
      </c>
      <c r="Q219" s="58">
        <v>750</v>
      </c>
      <c r="R219" s="298">
        <f t="shared" si="122"/>
        <v>0.27701740035088379</v>
      </c>
      <c r="S219" s="32">
        <f t="shared" ca="1" si="123"/>
        <v>245.28492074777444</v>
      </c>
      <c r="T219" s="396">
        <v>0.1</v>
      </c>
      <c r="U219" s="32">
        <f t="shared" ca="1" si="124"/>
        <v>245.28492074777444</v>
      </c>
      <c r="V219"/>
      <c r="W219" s="26" t="s">
        <v>704</v>
      </c>
      <c r="X219"/>
      <c r="Y219" s="413">
        <f t="shared" ref="Y219:AL219" si="128">Y182</f>
        <v>0</v>
      </c>
      <c r="Z219" s="415">
        <f t="shared" si="128"/>
        <v>0</v>
      </c>
      <c r="AA219" s="413">
        <f t="shared" si="128"/>
        <v>0</v>
      </c>
      <c r="AB219" s="413">
        <f t="shared" si="128"/>
        <v>0</v>
      </c>
      <c r="AC219" s="413">
        <f t="shared" si="128"/>
        <v>0</v>
      </c>
      <c r="AD219" s="413">
        <f t="shared" si="128"/>
        <v>0</v>
      </c>
      <c r="AE219" s="413">
        <f t="shared" si="128"/>
        <v>0</v>
      </c>
      <c r="AF219" s="413">
        <f t="shared" si="128"/>
        <v>0.5</v>
      </c>
      <c r="AG219" s="413">
        <f t="shared" si="128"/>
        <v>0.5</v>
      </c>
      <c r="AH219" s="413">
        <f t="shared" si="128"/>
        <v>0</v>
      </c>
      <c r="AI219" s="413">
        <f t="shared" si="128"/>
        <v>0</v>
      </c>
      <c r="AJ219" s="413">
        <f t="shared" si="128"/>
        <v>0</v>
      </c>
      <c r="AK219" s="413">
        <f t="shared" si="128"/>
        <v>0</v>
      </c>
      <c r="AL219" s="413">
        <f t="shared" si="128"/>
        <v>0</v>
      </c>
      <c r="AM219" s="193"/>
      <c r="AN219" s="408">
        <f t="shared" si="96"/>
        <v>1</v>
      </c>
      <c r="AO219" s="399">
        <f t="shared" ca="1" si="126"/>
        <v>245.28492074777444</v>
      </c>
      <c r="AP219" s="32">
        <f t="shared" ca="1" si="127"/>
        <v>245.28492074777444</v>
      </c>
      <c r="AQ219" s="260">
        <f t="shared" ca="1" si="105"/>
        <v>0</v>
      </c>
    </row>
    <row r="220" spans="1:43" hidden="1" outlineLevel="1" x14ac:dyDescent="0.3">
      <c r="A220" s="26" t="s">
        <v>376</v>
      </c>
      <c r="B220" s="26" t="s">
        <v>199</v>
      </c>
      <c r="C220" s="27">
        <v>1</v>
      </c>
      <c r="D220" s="129" t="s">
        <v>707</v>
      </c>
      <c r="E220" s="286" t="s">
        <v>382</v>
      </c>
      <c r="F220" s="128"/>
      <c r="G220" s="128"/>
      <c r="H220" s="128"/>
      <c r="I220" s="128"/>
      <c r="J220" s="128"/>
      <c r="K220" s="128"/>
      <c r="L220" s="27"/>
      <c r="M220" s="27"/>
      <c r="N220" s="27"/>
      <c r="O220" s="128"/>
      <c r="P220" s="58">
        <v>500</v>
      </c>
      <c r="Q220" s="58">
        <v>750</v>
      </c>
      <c r="R220" s="298">
        <f t="shared" si="122"/>
        <v>0.27701740035088379</v>
      </c>
      <c r="S220" s="32">
        <f t="shared" ca="1" si="123"/>
        <v>245.28492074777444</v>
      </c>
      <c r="T220" s="396">
        <v>0.1</v>
      </c>
      <c r="U220" s="32">
        <f t="shared" ca="1" si="124"/>
        <v>245.28492074777444</v>
      </c>
      <c r="V220"/>
      <c r="W220" s="26" t="s">
        <v>704</v>
      </c>
      <c r="X220"/>
      <c r="Y220" s="413">
        <f t="shared" ref="Y220:AL220" si="129">Y183</f>
        <v>0</v>
      </c>
      <c r="Z220" s="415">
        <f t="shared" si="129"/>
        <v>0</v>
      </c>
      <c r="AA220" s="413">
        <f t="shared" si="129"/>
        <v>0</v>
      </c>
      <c r="AB220" s="413">
        <f t="shared" si="129"/>
        <v>0</v>
      </c>
      <c r="AC220" s="413">
        <f t="shared" si="129"/>
        <v>0</v>
      </c>
      <c r="AD220" s="413">
        <f t="shared" si="129"/>
        <v>0</v>
      </c>
      <c r="AE220" s="413">
        <f t="shared" si="129"/>
        <v>0</v>
      </c>
      <c r="AF220" s="413">
        <f t="shared" si="129"/>
        <v>0.5</v>
      </c>
      <c r="AG220" s="413">
        <f t="shared" si="129"/>
        <v>0.5</v>
      </c>
      <c r="AH220" s="413">
        <f t="shared" si="129"/>
        <v>0</v>
      </c>
      <c r="AI220" s="413">
        <f t="shared" si="129"/>
        <v>0</v>
      </c>
      <c r="AJ220" s="413">
        <f t="shared" si="129"/>
        <v>0</v>
      </c>
      <c r="AK220" s="413">
        <f t="shared" si="129"/>
        <v>0</v>
      </c>
      <c r="AL220" s="413">
        <f t="shared" si="129"/>
        <v>0</v>
      </c>
      <c r="AM220" s="193"/>
      <c r="AN220" s="408">
        <f t="shared" si="96"/>
        <v>1</v>
      </c>
      <c r="AO220" s="399">
        <f t="shared" ca="1" si="126"/>
        <v>245.28492074777444</v>
      </c>
      <c r="AP220" s="32">
        <f t="shared" ca="1" si="127"/>
        <v>245.28492074777444</v>
      </c>
      <c r="AQ220" s="260">
        <f t="shared" ca="1" si="105"/>
        <v>0</v>
      </c>
    </row>
    <row r="221" spans="1:43" hidden="1" outlineLevel="1" x14ac:dyDescent="0.3">
      <c r="A221" s="26" t="s">
        <v>376</v>
      </c>
      <c r="B221" s="26" t="s">
        <v>199</v>
      </c>
      <c r="C221" s="27">
        <v>1</v>
      </c>
      <c r="D221" s="129" t="s">
        <v>707</v>
      </c>
      <c r="E221" s="286" t="s">
        <v>386</v>
      </c>
      <c r="F221" s="128"/>
      <c r="G221" s="128"/>
      <c r="H221" s="128"/>
      <c r="I221" s="128"/>
      <c r="J221" s="128"/>
      <c r="K221" s="128"/>
      <c r="L221" s="27"/>
      <c r="M221" s="27"/>
      <c r="N221" s="27"/>
      <c r="O221" s="128"/>
      <c r="P221" s="58">
        <v>500</v>
      </c>
      <c r="Q221" s="58">
        <v>1000</v>
      </c>
      <c r="R221" s="298">
        <f t="shared" si="122"/>
        <v>0.57078269456856334</v>
      </c>
      <c r="S221" s="32">
        <f t="shared" ca="1" si="123"/>
        <v>147.98565116735014</v>
      </c>
      <c r="T221" s="396">
        <v>0.1</v>
      </c>
      <c r="U221" s="32">
        <f t="shared" ca="1" si="124"/>
        <v>147.98565116735014</v>
      </c>
      <c r="V221"/>
      <c r="W221" s="26" t="s">
        <v>704</v>
      </c>
      <c r="X221"/>
      <c r="Y221" s="413">
        <f t="shared" ref="Y221:AL221" si="130">Y184</f>
        <v>0</v>
      </c>
      <c r="Z221" s="415">
        <f t="shared" si="130"/>
        <v>0</v>
      </c>
      <c r="AA221" s="413">
        <f t="shared" si="130"/>
        <v>0</v>
      </c>
      <c r="AB221" s="413">
        <f t="shared" si="130"/>
        <v>0</v>
      </c>
      <c r="AC221" s="413">
        <f t="shared" si="130"/>
        <v>0</v>
      </c>
      <c r="AD221" s="413">
        <f t="shared" si="130"/>
        <v>0</v>
      </c>
      <c r="AE221" s="413">
        <f t="shared" si="130"/>
        <v>0</v>
      </c>
      <c r="AF221" s="413">
        <f t="shared" si="130"/>
        <v>0.5</v>
      </c>
      <c r="AG221" s="413">
        <f t="shared" si="130"/>
        <v>0.5</v>
      </c>
      <c r="AH221" s="413">
        <f t="shared" si="130"/>
        <v>0</v>
      </c>
      <c r="AI221" s="413">
        <f t="shared" si="130"/>
        <v>0</v>
      </c>
      <c r="AJ221" s="413">
        <f t="shared" si="130"/>
        <v>0</v>
      </c>
      <c r="AK221" s="413">
        <f t="shared" si="130"/>
        <v>0</v>
      </c>
      <c r="AL221" s="413">
        <f t="shared" si="130"/>
        <v>0</v>
      </c>
      <c r="AM221" s="193"/>
      <c r="AN221" s="408">
        <f t="shared" si="96"/>
        <v>1</v>
      </c>
      <c r="AO221" s="399">
        <f t="shared" ca="1" si="126"/>
        <v>147.98565116735014</v>
      </c>
      <c r="AP221" s="32">
        <f t="shared" ca="1" si="127"/>
        <v>147.98565116735014</v>
      </c>
      <c r="AQ221" s="260">
        <f t="shared" ca="1" si="105"/>
        <v>0</v>
      </c>
    </row>
    <row r="222" spans="1:43" hidden="1" outlineLevel="1" x14ac:dyDescent="0.3">
      <c r="A222" s="26" t="s">
        <v>376</v>
      </c>
      <c r="B222" s="26" t="s">
        <v>199</v>
      </c>
      <c r="C222" s="27">
        <v>1</v>
      </c>
      <c r="D222" s="129" t="s">
        <v>707</v>
      </c>
      <c r="E222" s="286" t="s">
        <v>387</v>
      </c>
      <c r="F222" s="128"/>
      <c r="G222" s="128"/>
      <c r="H222" s="128"/>
      <c r="I222" s="128"/>
      <c r="J222" s="128"/>
      <c r="K222" s="128"/>
      <c r="L222" s="27"/>
      <c r="M222" s="27"/>
      <c r="N222" s="27"/>
      <c r="O222" s="128"/>
      <c r="P222" s="58">
        <v>100</v>
      </c>
      <c r="Q222" s="58">
        <v>125</v>
      </c>
      <c r="R222" s="298">
        <f t="shared" si="122"/>
        <v>0.17519802361139702</v>
      </c>
      <c r="S222" s="32">
        <f t="shared" ca="1" si="123"/>
        <v>67.574118984626878</v>
      </c>
      <c r="T222" s="396">
        <v>0.1</v>
      </c>
      <c r="U222" s="32">
        <f t="shared" ca="1" si="124"/>
        <v>67.574118984626878</v>
      </c>
      <c r="V222"/>
      <c r="W222" s="26" t="s">
        <v>704</v>
      </c>
      <c r="X222"/>
      <c r="Y222" s="413">
        <f t="shared" ref="Y222:AL222" si="131">Y185</f>
        <v>0</v>
      </c>
      <c r="Z222" s="415">
        <f t="shared" si="131"/>
        <v>0</v>
      </c>
      <c r="AA222" s="413">
        <f t="shared" si="131"/>
        <v>0</v>
      </c>
      <c r="AB222" s="413">
        <f t="shared" si="131"/>
        <v>0</v>
      </c>
      <c r="AC222" s="413">
        <f t="shared" si="131"/>
        <v>0</v>
      </c>
      <c r="AD222" s="413">
        <f t="shared" si="131"/>
        <v>0</v>
      </c>
      <c r="AE222" s="413">
        <f t="shared" si="131"/>
        <v>0</v>
      </c>
      <c r="AF222" s="413">
        <f t="shared" si="131"/>
        <v>0.5</v>
      </c>
      <c r="AG222" s="413">
        <f t="shared" si="131"/>
        <v>0.5</v>
      </c>
      <c r="AH222" s="413">
        <f t="shared" si="131"/>
        <v>0</v>
      </c>
      <c r="AI222" s="413">
        <f t="shared" si="131"/>
        <v>0</v>
      </c>
      <c r="AJ222" s="413">
        <f t="shared" si="131"/>
        <v>0</v>
      </c>
      <c r="AK222" s="413">
        <f t="shared" si="131"/>
        <v>0</v>
      </c>
      <c r="AL222" s="413">
        <f t="shared" si="131"/>
        <v>0</v>
      </c>
      <c r="AM222" s="193"/>
      <c r="AN222" s="408">
        <f t="shared" si="96"/>
        <v>1</v>
      </c>
      <c r="AO222" s="399">
        <f t="shared" ca="1" si="126"/>
        <v>67.574118984626878</v>
      </c>
      <c r="AP222" s="32">
        <f t="shared" ca="1" si="127"/>
        <v>67.574118984626878</v>
      </c>
      <c r="AQ222" s="260">
        <f t="shared" ca="1" si="105"/>
        <v>0</v>
      </c>
    </row>
    <row r="223" spans="1:43" hidden="1" outlineLevel="1" x14ac:dyDescent="0.3">
      <c r="A223" s="26" t="s">
        <v>376</v>
      </c>
      <c r="B223" s="26" t="s">
        <v>199</v>
      </c>
      <c r="C223" s="27">
        <v>1</v>
      </c>
      <c r="D223" s="129" t="s">
        <v>707</v>
      </c>
      <c r="E223" s="304" t="s">
        <v>388</v>
      </c>
      <c r="F223" s="141"/>
      <c r="G223" s="141"/>
      <c r="H223" s="141"/>
      <c r="I223" s="141"/>
      <c r="J223" s="141"/>
      <c r="K223" s="141"/>
      <c r="L223" s="188"/>
      <c r="M223" s="188"/>
      <c r="N223" s="188"/>
      <c r="O223" s="141"/>
      <c r="P223" s="292">
        <v>50</v>
      </c>
      <c r="Q223" s="292">
        <v>50</v>
      </c>
      <c r="R223" s="269">
        <f t="shared" si="122"/>
        <v>0.1</v>
      </c>
      <c r="S223" s="265">
        <f t="shared" ca="1" si="123"/>
        <v>50</v>
      </c>
      <c r="T223" s="397">
        <v>0.1</v>
      </c>
      <c r="U223" s="265">
        <f t="shared" ca="1" si="124"/>
        <v>50</v>
      </c>
      <c r="V223"/>
      <c r="W223" s="26" t="s">
        <v>704</v>
      </c>
      <c r="X223"/>
      <c r="Y223" s="414">
        <f t="shared" ref="Y223:AL223" si="132">Y186</f>
        <v>0</v>
      </c>
      <c r="Z223" s="416">
        <f t="shared" si="132"/>
        <v>0</v>
      </c>
      <c r="AA223" s="414">
        <f t="shared" si="132"/>
        <v>0</v>
      </c>
      <c r="AB223" s="414">
        <f t="shared" si="132"/>
        <v>0</v>
      </c>
      <c r="AC223" s="414">
        <f t="shared" si="132"/>
        <v>0</v>
      </c>
      <c r="AD223" s="414">
        <f t="shared" si="132"/>
        <v>0</v>
      </c>
      <c r="AE223" s="414">
        <f t="shared" si="132"/>
        <v>0</v>
      </c>
      <c r="AF223" s="414">
        <f t="shared" si="132"/>
        <v>0.5</v>
      </c>
      <c r="AG223" s="414">
        <f t="shared" si="132"/>
        <v>0.5</v>
      </c>
      <c r="AH223" s="414">
        <f t="shared" si="132"/>
        <v>0</v>
      </c>
      <c r="AI223" s="414">
        <f t="shared" si="132"/>
        <v>0</v>
      </c>
      <c r="AJ223" s="414">
        <f t="shared" si="132"/>
        <v>0</v>
      </c>
      <c r="AK223" s="414">
        <f t="shared" si="132"/>
        <v>0</v>
      </c>
      <c r="AL223" s="414">
        <f t="shared" si="132"/>
        <v>0</v>
      </c>
      <c r="AM223" s="193"/>
      <c r="AN223" s="409">
        <f t="shared" si="96"/>
        <v>1</v>
      </c>
      <c r="AO223" s="399">
        <f t="shared" ca="1" si="126"/>
        <v>50</v>
      </c>
      <c r="AP223" s="265">
        <f t="shared" ca="1" si="127"/>
        <v>50</v>
      </c>
      <c r="AQ223" s="260">
        <f t="shared" ca="1" si="105"/>
        <v>0</v>
      </c>
    </row>
    <row r="224" spans="1:43" collapsed="1" x14ac:dyDescent="0.3">
      <c r="A224" s="26" t="s">
        <v>376</v>
      </c>
      <c r="B224" s="26" t="s">
        <v>199</v>
      </c>
      <c r="C224" s="27">
        <v>2</v>
      </c>
      <c r="D224" s="129" t="s">
        <v>707</v>
      </c>
      <c r="E224" s="279" t="s">
        <v>300</v>
      </c>
      <c r="F224" s="239"/>
      <c r="G224" s="239"/>
      <c r="H224" s="239"/>
      <c r="I224" s="239"/>
      <c r="J224" s="239"/>
      <c r="K224" s="239"/>
      <c r="L224" s="236"/>
      <c r="M224" s="237"/>
      <c r="N224" s="238"/>
      <c r="O224" s="237"/>
      <c r="P224" s="234">
        <f>SUM(P218:P223)</f>
        <v>2150</v>
      </c>
      <c r="Q224" s="234">
        <f>SUM(Q218:Q223)</f>
        <v>3675</v>
      </c>
      <c r="R224" s="235">
        <f t="shared" si="122"/>
        <v>0.38464514611997275</v>
      </c>
      <c r="S224" s="234">
        <f ca="1">SUM(S218:S223)</f>
        <v>904.11526281487613</v>
      </c>
      <c r="T224" s="235">
        <f ca="1">IFERROR(10^(LOG(U224/S224)/LOG(Q_prototype)-1),0)</f>
        <v>0.1</v>
      </c>
      <c r="U224" s="234">
        <f ca="1">SUM(U218:U223)</f>
        <v>904.11526281487613</v>
      </c>
      <c r="V224" s="27"/>
      <c r="W224" s="260" t="s">
        <v>305</v>
      </c>
      <c r="X224" s="27"/>
      <c r="Y224" s="261">
        <f t="shared" ref="Y224:AL224" ca="1" si="133">SUMPRODUCT($U218:$U223,Y218:Y223)</f>
        <v>0</v>
      </c>
      <c r="Z224" s="261">
        <f t="shared" ca="1" si="133"/>
        <v>0</v>
      </c>
      <c r="AA224" s="261">
        <f t="shared" ca="1" si="133"/>
        <v>0</v>
      </c>
      <c r="AB224" s="261">
        <f t="shared" ca="1" si="133"/>
        <v>0</v>
      </c>
      <c r="AC224" s="261">
        <f t="shared" ca="1" si="133"/>
        <v>0</v>
      </c>
      <c r="AD224" s="261">
        <f t="shared" ca="1" si="133"/>
        <v>0</v>
      </c>
      <c r="AE224" s="261">
        <f t="shared" ca="1" si="133"/>
        <v>0</v>
      </c>
      <c r="AF224" s="261">
        <f t="shared" ca="1" si="133"/>
        <v>452.05763140743807</v>
      </c>
      <c r="AG224" s="261">
        <f t="shared" ca="1" si="133"/>
        <v>452.05763140743807</v>
      </c>
      <c r="AH224" s="261">
        <f t="shared" ca="1" si="133"/>
        <v>0</v>
      </c>
      <c r="AI224" s="261">
        <f t="shared" ca="1" si="133"/>
        <v>0</v>
      </c>
      <c r="AJ224" s="261">
        <f t="shared" ca="1" si="133"/>
        <v>0</v>
      </c>
      <c r="AK224" s="261">
        <f t="shared" ca="1" si="133"/>
        <v>0</v>
      </c>
      <c r="AL224" s="261">
        <f t="shared" ca="1" si="133"/>
        <v>0</v>
      </c>
      <c r="AM224" s="167"/>
      <c r="AN224" s="234">
        <f t="shared" ca="1" si="96"/>
        <v>904.11526281487613</v>
      </c>
      <c r="AO224" s="308"/>
      <c r="AP224" s="234">
        <f ca="1">SUM(AP218:AP223)</f>
        <v>904.11526281487613</v>
      </c>
      <c r="AQ224" s="260">
        <f t="shared" ca="1" si="105"/>
        <v>0</v>
      </c>
    </row>
    <row r="225" spans="1:43" hidden="1" outlineLevel="1" x14ac:dyDescent="0.3">
      <c r="C225"/>
      <c r="D225" s="139"/>
      <c r="E225" s="128"/>
      <c r="L225" s="27"/>
      <c r="M225" s="27"/>
      <c r="N225" s="27"/>
      <c r="Q225" s="27"/>
      <c r="R225" s="276"/>
      <c r="T225" s="276"/>
      <c r="V225"/>
      <c r="X225"/>
      <c r="Z225" s="260"/>
      <c r="AA225" s="260"/>
      <c r="AB225" s="260"/>
      <c r="AC225" s="260"/>
      <c r="AD225" s="260"/>
      <c r="AE225" s="260"/>
      <c r="AF225" s="260"/>
      <c r="AG225" s="260"/>
      <c r="AH225" s="260"/>
      <c r="AI225" s="260"/>
      <c r="AJ225" s="260"/>
      <c r="AK225" s="260"/>
      <c r="AL225" s="260"/>
      <c r="AQ225" s="260">
        <f t="shared" si="105"/>
        <v>0</v>
      </c>
    </row>
    <row r="226" spans="1:43" hidden="1" outlineLevel="1" x14ac:dyDescent="0.3">
      <c r="A226" s="26" t="s">
        <v>376</v>
      </c>
      <c r="B226" s="26" t="s">
        <v>199</v>
      </c>
      <c r="C226" s="27">
        <v>1</v>
      </c>
      <c r="D226" s="129" t="s">
        <v>707</v>
      </c>
      <c r="E226" s="304" t="s">
        <v>379</v>
      </c>
      <c r="F226" s="141"/>
      <c r="G226" s="141"/>
      <c r="H226" s="141"/>
      <c r="I226" s="141"/>
      <c r="J226" s="141"/>
      <c r="K226" s="141"/>
      <c r="L226" s="188"/>
      <c r="M226" s="188"/>
      <c r="N226" s="188"/>
      <c r="O226" s="141"/>
      <c r="P226" s="292">
        <v>100</v>
      </c>
      <c r="Q226" s="292">
        <v>150</v>
      </c>
      <c r="R226" s="269">
        <f xml:space="preserve"> 10^(LOG(Q226/P226)/LOG(Q$6/P$6)-1)</f>
        <v>0.27701740035088379</v>
      </c>
      <c r="S226" s="265">
        <f ca="1">P226*(10*R226)^LOG(wing_area/ref_wing_area)</f>
        <v>49.056984149554886</v>
      </c>
      <c r="T226" s="397">
        <v>0.1</v>
      </c>
      <c r="U226" s="265">
        <f ca="1">S226*(10*T226)^LOG(Q_prototype)</f>
        <v>49.056984149554886</v>
      </c>
      <c r="V226"/>
      <c r="W226" s="26" t="s">
        <v>704</v>
      </c>
      <c r="X226"/>
      <c r="Y226" s="414">
        <f t="shared" ref="Y226:AL226" si="134">Y189</f>
        <v>0</v>
      </c>
      <c r="Z226" s="416">
        <f t="shared" si="134"/>
        <v>0</v>
      </c>
      <c r="AA226" s="414">
        <f t="shared" si="134"/>
        <v>0</v>
      </c>
      <c r="AB226" s="414">
        <f t="shared" si="134"/>
        <v>0</v>
      </c>
      <c r="AC226" s="414">
        <f t="shared" si="134"/>
        <v>0</v>
      </c>
      <c r="AD226" s="414">
        <f t="shared" si="134"/>
        <v>0</v>
      </c>
      <c r="AE226" s="414">
        <f t="shared" si="134"/>
        <v>0</v>
      </c>
      <c r="AF226" s="414">
        <f t="shared" si="134"/>
        <v>0</v>
      </c>
      <c r="AG226" s="414">
        <f t="shared" si="134"/>
        <v>0</v>
      </c>
      <c r="AH226" s="414">
        <f t="shared" si="134"/>
        <v>1</v>
      </c>
      <c r="AI226" s="414">
        <f t="shared" si="134"/>
        <v>0</v>
      </c>
      <c r="AJ226" s="414">
        <f t="shared" si="134"/>
        <v>0</v>
      </c>
      <c r="AK226" s="414">
        <f t="shared" si="134"/>
        <v>0</v>
      </c>
      <c r="AL226" s="414">
        <f t="shared" si="134"/>
        <v>0</v>
      </c>
      <c r="AM226" s="193"/>
      <c r="AN226" s="409">
        <f t="shared" si="96"/>
        <v>1</v>
      </c>
      <c r="AO226" s="399">
        <f ca="1">AN226*U226</f>
        <v>49.056984149554886</v>
      </c>
      <c r="AP226" s="265">
        <f ca="1">U226*AN226</f>
        <v>49.056984149554886</v>
      </c>
      <c r="AQ226" s="260">
        <f t="shared" ca="1" si="105"/>
        <v>0</v>
      </c>
    </row>
    <row r="227" spans="1:43" collapsed="1" x14ac:dyDescent="0.3">
      <c r="A227" s="26" t="s">
        <v>376</v>
      </c>
      <c r="B227" s="26" t="s">
        <v>199</v>
      </c>
      <c r="C227" s="27">
        <v>2</v>
      </c>
      <c r="D227" s="129" t="s">
        <v>707</v>
      </c>
      <c r="E227" s="279" t="s">
        <v>301</v>
      </c>
      <c r="F227" s="239"/>
      <c r="G227" s="239"/>
      <c r="H227" s="239"/>
      <c r="I227" s="239"/>
      <c r="J227" s="239"/>
      <c r="K227" s="239"/>
      <c r="L227" s="236"/>
      <c r="M227" s="237"/>
      <c r="N227" s="238"/>
      <c r="O227" s="237"/>
      <c r="P227" s="234">
        <f>SUM(P226)</f>
        <v>100</v>
      </c>
      <c r="Q227" s="234">
        <f>SUM(Q226)</f>
        <v>150</v>
      </c>
      <c r="R227" s="235">
        <f xml:space="preserve"> 10^(LOG(Q227/P227)/LOG(Q$6/P$6)-1)</f>
        <v>0.27701740035088379</v>
      </c>
      <c r="S227" s="234">
        <f ca="1">SUM(S226)</f>
        <v>49.056984149554886</v>
      </c>
      <c r="T227" s="235">
        <f ca="1">IFERROR(10^(LOG(U227/S227)/LOG(Q_prototype)-1),0)</f>
        <v>0.1</v>
      </c>
      <c r="U227" s="234">
        <f ca="1">SUM(U226)</f>
        <v>49.056984149554886</v>
      </c>
      <c r="V227" s="27"/>
      <c r="W227" s="260" t="s">
        <v>305</v>
      </c>
      <c r="X227" s="27"/>
      <c r="Y227" s="261">
        <f t="shared" ref="Y227:AL227" ca="1" si="135">SUMPRODUCT($U226,Y226)</f>
        <v>0</v>
      </c>
      <c r="Z227" s="261">
        <f t="shared" ca="1" si="135"/>
        <v>0</v>
      </c>
      <c r="AA227" s="261">
        <f t="shared" ca="1" si="135"/>
        <v>0</v>
      </c>
      <c r="AB227" s="261">
        <f t="shared" ca="1" si="135"/>
        <v>0</v>
      </c>
      <c r="AC227" s="261">
        <f t="shared" ca="1" si="135"/>
        <v>0</v>
      </c>
      <c r="AD227" s="261">
        <f t="shared" ca="1" si="135"/>
        <v>0</v>
      </c>
      <c r="AE227" s="261">
        <f t="shared" ca="1" si="135"/>
        <v>0</v>
      </c>
      <c r="AF227" s="261">
        <f t="shared" ca="1" si="135"/>
        <v>0</v>
      </c>
      <c r="AG227" s="261">
        <f t="shared" ca="1" si="135"/>
        <v>0</v>
      </c>
      <c r="AH227" s="261">
        <f t="shared" ca="1" si="135"/>
        <v>49.056984149554886</v>
      </c>
      <c r="AI227" s="261">
        <f t="shared" ca="1" si="135"/>
        <v>0</v>
      </c>
      <c r="AJ227" s="261">
        <f t="shared" ca="1" si="135"/>
        <v>0</v>
      </c>
      <c r="AK227" s="261">
        <f t="shared" ca="1" si="135"/>
        <v>0</v>
      </c>
      <c r="AL227" s="261">
        <f t="shared" ca="1" si="135"/>
        <v>0</v>
      </c>
      <c r="AM227" s="167"/>
      <c r="AN227" s="234">
        <f t="shared" ca="1" si="96"/>
        <v>49.056984149554886</v>
      </c>
      <c r="AO227" s="308"/>
      <c r="AP227" s="234">
        <f ca="1">SUM(AP226)</f>
        <v>49.056984149554886</v>
      </c>
      <c r="AQ227" s="260">
        <f t="shared" ca="1" si="105"/>
        <v>0</v>
      </c>
    </row>
    <row r="228" spans="1:43" hidden="1" outlineLevel="1" x14ac:dyDescent="0.3">
      <c r="C228"/>
      <c r="D228" s="139"/>
      <c r="E228" s="128"/>
      <c r="L228" s="27"/>
      <c r="M228" s="27"/>
      <c r="N228" s="27"/>
      <c r="Q228" s="27"/>
      <c r="R228" s="276"/>
      <c r="T228" s="276"/>
      <c r="V228"/>
      <c r="X228"/>
      <c r="Y228" s="26"/>
      <c r="AQ228" s="260">
        <f t="shared" si="105"/>
        <v>0</v>
      </c>
    </row>
    <row r="229" spans="1:43" collapsed="1" x14ac:dyDescent="0.3">
      <c r="A229" s="346"/>
      <c r="B229" s="26" t="s">
        <v>199</v>
      </c>
      <c r="C229" s="27">
        <v>3</v>
      </c>
      <c r="D229" s="129" t="s">
        <v>707</v>
      </c>
      <c r="E229" s="230" t="s">
        <v>698</v>
      </c>
      <c r="F229" s="230"/>
      <c r="G229" s="230"/>
      <c r="H229" s="230"/>
      <c r="I229" s="230"/>
      <c r="J229" s="230"/>
      <c r="K229" s="230"/>
      <c r="L229" s="229"/>
      <c r="M229" s="229"/>
      <c r="N229" s="229"/>
      <c r="O229" s="229"/>
      <c r="P229" s="229">
        <f>P200+P208+P216+P224+P227</f>
        <v>4650</v>
      </c>
      <c r="Q229" s="229">
        <f>Q200+Q208+Q216+Q224+Q227</f>
        <v>6225</v>
      </c>
      <c r="R229" s="272">
        <f xml:space="preserve"> 10^(LOG(Q229/P229)/LOG(Q$6/P$6)-1)</f>
        <v>0.20813999091943766</v>
      </c>
      <c r="S229" s="229">
        <f ca="1">S200+S208+S216+S224+S227</f>
        <v>3353.172246964431</v>
      </c>
      <c r="T229" s="405">
        <f ca="1">IFERROR(10^(LOG(U229/S229)/LOG(Q_prototype)-1),0)</f>
        <v>0.1</v>
      </c>
      <c r="U229" s="229">
        <f ca="1">U200+U208+U216+U224+U227</f>
        <v>3353.172246964431</v>
      </c>
      <c r="V229" s="333"/>
      <c r="W229" s="260" t="s">
        <v>305</v>
      </c>
      <c r="X229" s="333"/>
      <c r="Y229" s="262">
        <f t="shared" ref="Y229:AL229" ca="1" si="136">Y200+Y208+Y216+Y224+Y227</f>
        <v>0</v>
      </c>
      <c r="Z229" s="262">
        <f t="shared" ca="1" si="136"/>
        <v>0</v>
      </c>
      <c r="AA229" s="262">
        <f t="shared" ca="1" si="136"/>
        <v>50</v>
      </c>
      <c r="AB229" s="262">
        <f t="shared" ca="1" si="136"/>
        <v>100</v>
      </c>
      <c r="AC229" s="262">
        <f t="shared" ca="1" si="136"/>
        <v>100</v>
      </c>
      <c r="AD229" s="262">
        <f t="shared" ca="1" si="136"/>
        <v>1075</v>
      </c>
      <c r="AE229" s="262">
        <f t="shared" ca="1" si="136"/>
        <v>1075</v>
      </c>
      <c r="AF229" s="262">
        <f t="shared" ca="1" si="136"/>
        <v>452.05763140743807</v>
      </c>
      <c r="AG229" s="262">
        <f t="shared" ca="1" si="136"/>
        <v>452.05763140743807</v>
      </c>
      <c r="AH229" s="262">
        <f t="shared" ca="1" si="136"/>
        <v>49.056984149554886</v>
      </c>
      <c r="AI229" s="262">
        <f t="shared" ca="1" si="136"/>
        <v>0</v>
      </c>
      <c r="AJ229" s="262">
        <f t="shared" ca="1" si="136"/>
        <v>0</v>
      </c>
      <c r="AK229" s="262">
        <f t="shared" ca="1" si="136"/>
        <v>0</v>
      </c>
      <c r="AL229" s="341">
        <f t="shared" ca="1" si="136"/>
        <v>0</v>
      </c>
      <c r="AM229" s="336"/>
      <c r="AN229" s="229">
        <f t="shared" ca="1" si="96"/>
        <v>3353.1722469644305</v>
      </c>
      <c r="AO229" s="314"/>
      <c r="AP229" s="229"/>
      <c r="AQ229" s="260">
        <f t="shared" ca="1" si="105"/>
        <v>-3353.172246964431</v>
      </c>
    </row>
    <row r="230" spans="1:43" x14ac:dyDescent="0.3">
      <c r="C230"/>
      <c r="D230" s="139"/>
      <c r="L230" s="27"/>
      <c r="M230" s="27"/>
      <c r="N230" s="27"/>
      <c r="Q230" s="27"/>
      <c r="R230" s="266"/>
      <c r="T230" s="276"/>
      <c r="V230"/>
      <c r="X230"/>
      <c r="Y230" s="26"/>
      <c r="AQ230" s="260">
        <f t="shared" si="105"/>
        <v>0</v>
      </c>
    </row>
    <row r="231" spans="1:43" hidden="1" outlineLevel="1" x14ac:dyDescent="0.3">
      <c r="B231" s="26" t="s">
        <v>703</v>
      </c>
      <c r="C231" s="27">
        <v>9</v>
      </c>
      <c r="D231" s="129" t="s">
        <v>695</v>
      </c>
      <c r="E231" s="289" t="s">
        <v>684</v>
      </c>
      <c r="L231" s="27"/>
      <c r="M231" s="27"/>
      <c r="N231" s="27"/>
      <c r="Q231" s="27"/>
      <c r="R231" s="266"/>
      <c r="T231" s="266"/>
      <c r="V231"/>
      <c r="W231" s="260"/>
      <c r="X231"/>
      <c r="Y231" s="26"/>
      <c r="AQ231" s="458">
        <f ca="1">AP231-U231*(1+employer_contributions)*average_wage</f>
        <v>0</v>
      </c>
    </row>
    <row r="232" spans="1:43" hidden="1" outlineLevel="1" x14ac:dyDescent="0.3">
      <c r="B232" s="26" t="s">
        <v>703</v>
      </c>
      <c r="C232" s="27">
        <v>1</v>
      </c>
      <c r="D232" s="129" t="s">
        <v>695</v>
      </c>
      <c r="E232" s="128" t="s">
        <v>302</v>
      </c>
      <c r="F232" s="128"/>
      <c r="L232" s="27"/>
      <c r="M232" s="27"/>
      <c r="N232" s="27"/>
      <c r="P232" s="58">
        <v>100</v>
      </c>
      <c r="Q232" s="233">
        <f>P232</f>
        <v>100</v>
      </c>
      <c r="R232" s="298">
        <f xml:space="preserve"> 10^(LOG(Q232/P232)/LOG(Q$6/P$6)-1)</f>
        <v>0.1</v>
      </c>
      <c r="S232" s="32">
        <f ca="1">P232*(10*R232)^LOG(wing_area/ref_wing_area)</f>
        <v>100</v>
      </c>
      <c r="T232" s="396">
        <v>0.1</v>
      </c>
      <c r="U232" s="32">
        <f ca="1">S232*(10*T232)^LOG(Q_prototype)</f>
        <v>100</v>
      </c>
      <c r="V232"/>
      <c r="W232" s="26" t="s">
        <v>704</v>
      </c>
      <c r="X232"/>
      <c r="Y232" s="413"/>
      <c r="Z232" s="413"/>
      <c r="AA232" s="420"/>
      <c r="AB232" s="420"/>
      <c r="AC232" s="420">
        <f t="shared" ref="AC232:AJ232" si="137">1/8</f>
        <v>0.125</v>
      </c>
      <c r="AD232" s="420">
        <f t="shared" si="137"/>
        <v>0.125</v>
      </c>
      <c r="AE232" s="420">
        <f t="shared" si="137"/>
        <v>0.125</v>
      </c>
      <c r="AF232" s="420">
        <f t="shared" si="137"/>
        <v>0.125</v>
      </c>
      <c r="AG232" s="420">
        <f t="shared" si="137"/>
        <v>0.125</v>
      </c>
      <c r="AH232" s="420">
        <f t="shared" si="137"/>
        <v>0.125</v>
      </c>
      <c r="AI232" s="420">
        <f t="shared" si="137"/>
        <v>0.125</v>
      </c>
      <c r="AJ232" s="420">
        <f t="shared" si="137"/>
        <v>0.125</v>
      </c>
      <c r="AK232" s="413"/>
      <c r="AL232" s="413"/>
      <c r="AM232" s="193"/>
      <c r="AN232" s="411">
        <f t="shared" si="96"/>
        <v>1</v>
      </c>
      <c r="AO232" s="399">
        <f ca="1">AN232*U232</f>
        <v>100</v>
      </c>
      <c r="AP232" s="32">
        <f ca="1">AO232*average_wage*(1+employer_contributions)</f>
        <v>6000</v>
      </c>
      <c r="AQ232" s="260">
        <f t="shared" ca="1" si="105"/>
        <v>5900</v>
      </c>
    </row>
    <row r="233" spans="1:43" hidden="1" outlineLevel="1" x14ac:dyDescent="0.3">
      <c r="B233" s="26" t="s">
        <v>703</v>
      </c>
      <c r="C233" s="27">
        <v>1</v>
      </c>
      <c r="D233" s="129" t="s">
        <v>695</v>
      </c>
      <c r="E233" s="128" t="s">
        <v>303</v>
      </c>
      <c r="F233" s="128"/>
      <c r="L233" s="27"/>
      <c r="M233" s="27"/>
      <c r="N233" s="27"/>
      <c r="P233" s="58">
        <v>30</v>
      </c>
      <c r="Q233" s="233">
        <f>P233</f>
        <v>30</v>
      </c>
      <c r="R233" s="298">
        <f xml:space="preserve"> 10^(LOG(Q233/P233)/LOG(Q$6/P$6)-1)</f>
        <v>0.1</v>
      </c>
      <c r="S233" s="32">
        <f ca="1">P233*(10*R233)^LOG(wing_area/ref_wing_area)</f>
        <v>30</v>
      </c>
      <c r="T233" s="396">
        <v>0.1</v>
      </c>
      <c r="U233" s="32">
        <f ca="1">S233*(10*T233)^LOG(Q_prototype)</f>
        <v>30</v>
      </c>
      <c r="V233"/>
      <c r="W233" s="26" t="s">
        <v>704</v>
      </c>
      <c r="X233"/>
      <c r="Y233" s="413"/>
      <c r="Z233" s="413"/>
      <c r="AA233" s="420">
        <f t="shared" ref="AA233:AJ233" si="138">1/10</f>
        <v>0.1</v>
      </c>
      <c r="AB233" s="420">
        <f t="shared" si="138"/>
        <v>0.1</v>
      </c>
      <c r="AC233" s="420">
        <f t="shared" si="138"/>
        <v>0.1</v>
      </c>
      <c r="AD233" s="420">
        <f t="shared" si="138"/>
        <v>0.1</v>
      </c>
      <c r="AE233" s="420">
        <f t="shared" si="138"/>
        <v>0.1</v>
      </c>
      <c r="AF233" s="420">
        <f t="shared" si="138"/>
        <v>0.1</v>
      </c>
      <c r="AG233" s="420">
        <f t="shared" si="138"/>
        <v>0.1</v>
      </c>
      <c r="AH233" s="420">
        <f t="shared" si="138"/>
        <v>0.1</v>
      </c>
      <c r="AI233" s="420">
        <f t="shared" si="138"/>
        <v>0.1</v>
      </c>
      <c r="AJ233" s="420">
        <f t="shared" si="138"/>
        <v>0.1</v>
      </c>
      <c r="AK233" s="420"/>
      <c r="AL233" s="420"/>
      <c r="AM233" s="193"/>
      <c r="AN233" s="411">
        <f t="shared" si="96"/>
        <v>0.99999999999999989</v>
      </c>
      <c r="AO233" s="399">
        <f ca="1">AN233*U233</f>
        <v>29.999999999999996</v>
      </c>
      <c r="AP233" s="32">
        <f ca="1">AO233*average_wage*(1+employer_contributions)</f>
        <v>1799.9999999999998</v>
      </c>
      <c r="AQ233" s="260">
        <f t="shared" ca="1" si="105"/>
        <v>1769.9999999999998</v>
      </c>
    </row>
    <row r="234" spans="1:43" hidden="1" outlineLevel="1" x14ac:dyDescent="0.3">
      <c r="B234" s="26" t="s">
        <v>703</v>
      </c>
      <c r="C234" s="27">
        <v>1</v>
      </c>
      <c r="D234" s="129" t="s">
        <v>695</v>
      </c>
      <c r="E234" s="141" t="s">
        <v>304</v>
      </c>
      <c r="F234" s="141"/>
      <c r="L234" s="27"/>
      <c r="M234" s="27"/>
      <c r="N234" s="27"/>
      <c r="P234" s="58">
        <v>44</v>
      </c>
      <c r="Q234" s="232">
        <f>P234*1.2</f>
        <v>52.8</v>
      </c>
      <c r="R234" s="298">
        <f xml:space="preserve"> 10^(LOG(Q234/P234)/LOG(Q$6/P$6)-1)</f>
        <v>0.15811673821465591</v>
      </c>
      <c r="S234" s="32">
        <f ca="1">P234*(10*R234)^LOG(wing_area/ref_wing_area)</f>
        <v>31.942810872184317</v>
      </c>
      <c r="T234" s="396">
        <v>0.1</v>
      </c>
      <c r="U234" s="32">
        <f ca="1">S234*(10*T234)^LOG(Q_prototype)</f>
        <v>31.942810872184317</v>
      </c>
      <c r="V234"/>
      <c r="W234" s="26" t="s">
        <v>704</v>
      </c>
      <c r="X234"/>
      <c r="Y234" s="413"/>
      <c r="Z234" s="420">
        <f t="shared" ref="Z234:AJ234" si="139">1/11</f>
        <v>9.0909090909090912E-2</v>
      </c>
      <c r="AA234" s="420">
        <f t="shared" si="139"/>
        <v>9.0909090909090912E-2</v>
      </c>
      <c r="AB234" s="420">
        <f t="shared" si="139"/>
        <v>9.0909090909090912E-2</v>
      </c>
      <c r="AC234" s="420">
        <f t="shared" si="139"/>
        <v>9.0909090909090912E-2</v>
      </c>
      <c r="AD234" s="420">
        <f t="shared" si="139"/>
        <v>9.0909090909090912E-2</v>
      </c>
      <c r="AE234" s="420">
        <f t="shared" si="139"/>
        <v>9.0909090909090912E-2</v>
      </c>
      <c r="AF234" s="420">
        <f t="shared" si="139"/>
        <v>9.0909090909090912E-2</v>
      </c>
      <c r="AG234" s="420">
        <f t="shared" si="139"/>
        <v>9.0909090909090912E-2</v>
      </c>
      <c r="AH234" s="420">
        <f t="shared" si="139"/>
        <v>9.0909090909090912E-2</v>
      </c>
      <c r="AI234" s="420">
        <f t="shared" si="139"/>
        <v>9.0909090909090912E-2</v>
      </c>
      <c r="AJ234" s="420">
        <f t="shared" si="139"/>
        <v>9.0909090909090912E-2</v>
      </c>
      <c r="AK234" s="420"/>
      <c r="AL234" s="420"/>
      <c r="AM234" s="193"/>
      <c r="AN234" s="411">
        <f t="shared" si="96"/>
        <v>1.0000000000000002</v>
      </c>
      <c r="AO234" s="399">
        <f ca="1">AN234*U234</f>
        <v>31.942810872184324</v>
      </c>
      <c r="AP234" s="32">
        <f ca="1">AO234*average_wage*(1+employer_contributions)</f>
        <v>1916.5686523310592</v>
      </c>
      <c r="AQ234" s="260">
        <f t="shared" ca="1" si="105"/>
        <v>1884.6258414588749</v>
      </c>
    </row>
    <row r="235" spans="1:43" collapsed="1" x14ac:dyDescent="0.3">
      <c r="A235" s="346"/>
      <c r="B235" s="26" t="s">
        <v>703</v>
      </c>
      <c r="C235" s="27">
        <v>3</v>
      </c>
      <c r="D235" s="129" t="s">
        <v>695</v>
      </c>
      <c r="E235" s="230" t="s">
        <v>700</v>
      </c>
      <c r="F235" s="230"/>
      <c r="G235" s="230"/>
      <c r="H235" s="230"/>
      <c r="I235" s="230"/>
      <c r="J235" s="230"/>
      <c r="K235" s="230"/>
      <c r="L235" s="229"/>
      <c r="M235" s="229"/>
      <c r="N235" s="229"/>
      <c r="O235" s="229"/>
      <c r="P235" s="229">
        <f>SUM(P232:P234)</f>
        <v>174</v>
      </c>
      <c r="Q235" s="229">
        <f>SUM(Q232:Q234)</f>
        <v>182.8</v>
      </c>
      <c r="R235" s="272">
        <f xml:space="preserve"> 10^(LOG(Q235/P235)/LOG(Q$6/P$6)-1)</f>
        <v>0.11319953858059774</v>
      </c>
      <c r="S235" s="229">
        <f ca="1">SUM(S232:S234)</f>
        <v>161.94281087218431</v>
      </c>
      <c r="T235" s="405">
        <f ca="1">IFERROR(10^(LOG(U235/S235)/LOG(Q_prototype)-1),0)</f>
        <v>0.1</v>
      </c>
      <c r="U235" s="229">
        <f ca="1">SUM(U232:U234)</f>
        <v>161.94281087218431</v>
      </c>
      <c r="V235" s="333"/>
      <c r="W235" s="260" t="s">
        <v>690</v>
      </c>
      <c r="X235" s="333"/>
      <c r="Y235" s="313">
        <f ca="1">SUMPRODUCT($U232:$U234,Y232:Y234)</f>
        <v>0</v>
      </c>
      <c r="Z235" s="313">
        <f t="shared" ref="Z235:AL235" ca="1" si="140">SUMPRODUCT($U232:$U234,Z232:Z234)</f>
        <v>2.9038918974713015</v>
      </c>
      <c r="AA235" s="313">
        <f t="shared" ca="1" si="140"/>
        <v>5.9038918974713015</v>
      </c>
      <c r="AB235" s="313">
        <f t="shared" ca="1" si="140"/>
        <v>5.9038918974713015</v>
      </c>
      <c r="AC235" s="313">
        <f t="shared" ca="1" si="140"/>
        <v>18.403891897471301</v>
      </c>
      <c r="AD235" s="313">
        <f t="shared" ca="1" si="140"/>
        <v>18.403891897471301</v>
      </c>
      <c r="AE235" s="313">
        <f t="shared" ca="1" si="140"/>
        <v>18.403891897471301</v>
      </c>
      <c r="AF235" s="313">
        <f t="shared" ca="1" si="140"/>
        <v>18.403891897471301</v>
      </c>
      <c r="AG235" s="313">
        <f t="shared" ca="1" si="140"/>
        <v>18.403891897471301</v>
      </c>
      <c r="AH235" s="313">
        <f t="shared" ca="1" si="140"/>
        <v>18.403891897471301</v>
      </c>
      <c r="AI235" s="313">
        <f t="shared" ca="1" si="140"/>
        <v>18.403891897471301</v>
      </c>
      <c r="AJ235" s="313">
        <f t="shared" ca="1" si="140"/>
        <v>18.403891897471301</v>
      </c>
      <c r="AK235" s="313">
        <f t="shared" ca="1" si="140"/>
        <v>0</v>
      </c>
      <c r="AL235" s="313">
        <f t="shared" ca="1" si="140"/>
        <v>0</v>
      </c>
      <c r="AM235" s="336"/>
      <c r="AN235" s="314">
        <f t="shared" ca="1" si="96"/>
        <v>161.94281087218431</v>
      </c>
      <c r="AO235" s="314"/>
      <c r="AP235" s="229">
        <f ca="1">SUM(AP232:AP234)</f>
        <v>9716.5686523310596</v>
      </c>
      <c r="AQ235" s="458">
        <f ca="1">AP235-U235*(1+employer_contributions)*average_wage</f>
        <v>0</v>
      </c>
    </row>
    <row r="236" spans="1:43" s="9" customFormat="1" x14ac:dyDescent="0.3">
      <c r="B236" s="26" t="s">
        <v>703</v>
      </c>
      <c r="C236" s="27">
        <v>3.5</v>
      </c>
      <c r="D236" s="129" t="s">
        <v>692</v>
      </c>
      <c r="E236" s="139" t="s">
        <v>683</v>
      </c>
      <c r="R236" s="267"/>
      <c r="S236" s="264"/>
      <c r="T236" s="267"/>
      <c r="U236" s="264"/>
      <c r="W236" s="260" t="s">
        <v>690</v>
      </c>
      <c r="Y236" s="385">
        <f t="shared" ref="Y236:AL236" ca="1" si="141">Y235*2</f>
        <v>0</v>
      </c>
      <c r="Z236" s="385">
        <f t="shared" ca="1" si="141"/>
        <v>5.807783794942603</v>
      </c>
      <c r="AA236" s="385">
        <f t="shared" ca="1" si="141"/>
        <v>11.807783794942603</v>
      </c>
      <c r="AB236" s="385">
        <f t="shared" ca="1" si="141"/>
        <v>11.807783794942603</v>
      </c>
      <c r="AC236" s="385">
        <f t="shared" ca="1" si="141"/>
        <v>36.807783794942601</v>
      </c>
      <c r="AD236" s="385">
        <f t="shared" ca="1" si="141"/>
        <v>36.807783794942601</v>
      </c>
      <c r="AE236" s="385">
        <f t="shared" ca="1" si="141"/>
        <v>36.807783794942601</v>
      </c>
      <c r="AF236" s="385">
        <f t="shared" ca="1" si="141"/>
        <v>36.807783794942601</v>
      </c>
      <c r="AG236" s="385">
        <f t="shared" ca="1" si="141"/>
        <v>36.807783794942601</v>
      </c>
      <c r="AH236" s="385">
        <f t="shared" ca="1" si="141"/>
        <v>36.807783794942601</v>
      </c>
      <c r="AI236" s="385">
        <f t="shared" ca="1" si="141"/>
        <v>36.807783794942601</v>
      </c>
      <c r="AJ236" s="385">
        <f t="shared" ca="1" si="141"/>
        <v>36.807783794942601</v>
      </c>
      <c r="AK236" s="385">
        <f t="shared" ca="1" si="141"/>
        <v>0</v>
      </c>
      <c r="AL236" s="385">
        <f t="shared" ca="1" si="141"/>
        <v>0</v>
      </c>
      <c r="AN236" s="406">
        <f t="shared" ca="1" si="96"/>
        <v>323.88562174436862</v>
      </c>
      <c r="AO236" s="406"/>
      <c r="AP236" s="264"/>
      <c r="AQ236" s="260">
        <f t="shared" si="105"/>
        <v>0</v>
      </c>
    </row>
    <row r="237" spans="1:43" x14ac:dyDescent="0.3">
      <c r="C237"/>
      <c r="D237" s="139"/>
      <c r="L237" s="27"/>
      <c r="M237" s="27"/>
      <c r="N237" s="27"/>
      <c r="Q237" s="27"/>
      <c r="R237" s="266"/>
      <c r="T237" s="266"/>
      <c r="V237"/>
      <c r="X237"/>
      <c r="Y237" s="26"/>
      <c r="AQ237" s="260">
        <f t="shared" si="105"/>
        <v>0</v>
      </c>
    </row>
    <row r="238" spans="1:43" hidden="1" outlineLevel="1" x14ac:dyDescent="0.3">
      <c r="B238" s="26" t="s">
        <v>703</v>
      </c>
      <c r="C238" s="27">
        <v>9</v>
      </c>
      <c r="D238" s="129" t="s">
        <v>707</v>
      </c>
      <c r="E238" s="289" t="s">
        <v>554</v>
      </c>
      <c r="L238" s="27"/>
      <c r="M238" s="27"/>
      <c r="N238" s="27"/>
      <c r="Q238" s="27"/>
      <c r="R238" s="266"/>
      <c r="T238" s="266"/>
      <c r="V238"/>
      <c r="X238"/>
      <c r="Y238" s="26"/>
      <c r="AQ238" s="260">
        <f t="shared" si="105"/>
        <v>0</v>
      </c>
    </row>
    <row r="239" spans="1:43" hidden="1" outlineLevel="1" x14ac:dyDescent="0.3">
      <c r="B239" s="26" t="s">
        <v>703</v>
      </c>
      <c r="C239" s="27">
        <v>1</v>
      </c>
      <c r="D239" s="129" t="s">
        <v>707</v>
      </c>
      <c r="E239" s="128" t="s">
        <v>302</v>
      </c>
      <c r="L239" s="27"/>
      <c r="M239" s="27"/>
      <c r="N239" s="27"/>
      <c r="P239" s="58">
        <v>1</v>
      </c>
      <c r="Q239" s="233">
        <v>1</v>
      </c>
      <c r="R239" s="298">
        <f xml:space="preserve"> 10^(LOG(Q239/P239)/LOG(Q$6/P$6)-1)</f>
        <v>0.1</v>
      </c>
      <c r="S239" s="32">
        <f ca="1">P239*(10*R239)^LOG(wing_area/ref_wing_area)</f>
        <v>1</v>
      </c>
      <c r="T239" s="396">
        <v>0.1</v>
      </c>
      <c r="U239" s="32">
        <f ca="1">S239*(10*T239)^LOG(Q_prototype)</f>
        <v>1</v>
      </c>
      <c r="V239"/>
      <c r="W239" s="26" t="s">
        <v>704</v>
      </c>
      <c r="X239"/>
      <c r="Y239" s="413"/>
      <c r="Z239" s="420"/>
      <c r="AA239" s="420"/>
      <c r="AB239" s="420"/>
      <c r="AC239" s="420">
        <f t="shared" ref="AC239:AJ239" si="142">1/8</f>
        <v>0.125</v>
      </c>
      <c r="AD239" s="420">
        <f t="shared" si="142"/>
        <v>0.125</v>
      </c>
      <c r="AE239" s="420">
        <f t="shared" si="142"/>
        <v>0.125</v>
      </c>
      <c r="AF239" s="420">
        <f t="shared" si="142"/>
        <v>0.125</v>
      </c>
      <c r="AG239" s="420">
        <f t="shared" si="142"/>
        <v>0.125</v>
      </c>
      <c r="AH239" s="420">
        <f t="shared" si="142"/>
        <v>0.125</v>
      </c>
      <c r="AI239" s="420">
        <f t="shared" si="142"/>
        <v>0.125</v>
      </c>
      <c r="AJ239" s="420">
        <f t="shared" si="142"/>
        <v>0.125</v>
      </c>
      <c r="AK239" s="420"/>
      <c r="AL239" s="420"/>
      <c r="AM239" s="193"/>
      <c r="AN239" s="411">
        <f t="shared" si="96"/>
        <v>1</v>
      </c>
      <c r="AO239" s="399">
        <f ca="1">AN239*U239</f>
        <v>1</v>
      </c>
      <c r="AP239" s="32">
        <f ca="1">U239*AN239</f>
        <v>1</v>
      </c>
      <c r="AQ239" s="260">
        <f t="shared" ca="1" si="105"/>
        <v>0</v>
      </c>
    </row>
    <row r="240" spans="1:43" hidden="1" outlineLevel="1" x14ac:dyDescent="0.3">
      <c r="B240" s="26" t="s">
        <v>703</v>
      </c>
      <c r="C240" s="27">
        <v>1</v>
      </c>
      <c r="D240" s="129" t="s">
        <v>707</v>
      </c>
      <c r="E240" s="128" t="s">
        <v>303</v>
      </c>
      <c r="L240" s="27"/>
      <c r="M240" s="27"/>
      <c r="N240" s="27"/>
      <c r="P240" s="58">
        <v>1500</v>
      </c>
      <c r="Q240" s="233">
        <f>P240</f>
        <v>1500</v>
      </c>
      <c r="R240" s="298">
        <f xml:space="preserve"> 10^(LOG(Q240/P240)/LOG(Q$6/P$6)-1)</f>
        <v>0.1</v>
      </c>
      <c r="S240" s="32">
        <f ca="1">P240*(10*R240)^LOG(wing_area/ref_wing_area)</f>
        <v>1500</v>
      </c>
      <c r="T240" s="396">
        <v>0.1</v>
      </c>
      <c r="U240" s="32">
        <f ca="1">S240*(10*T240)^LOG(Q_prototype)</f>
        <v>1500</v>
      </c>
      <c r="V240"/>
      <c r="W240" s="26" t="s">
        <v>704</v>
      </c>
      <c r="X240"/>
      <c r="Y240" s="413"/>
      <c r="Z240" s="420"/>
      <c r="AA240" s="420">
        <f t="shared" ref="AA240:AJ240" si="143">1/10</f>
        <v>0.1</v>
      </c>
      <c r="AB240" s="420">
        <f t="shared" si="143"/>
        <v>0.1</v>
      </c>
      <c r="AC240" s="420">
        <f t="shared" si="143"/>
        <v>0.1</v>
      </c>
      <c r="AD240" s="420">
        <f t="shared" si="143"/>
        <v>0.1</v>
      </c>
      <c r="AE240" s="420">
        <f t="shared" si="143"/>
        <v>0.1</v>
      </c>
      <c r="AF240" s="420">
        <f t="shared" si="143"/>
        <v>0.1</v>
      </c>
      <c r="AG240" s="420">
        <f t="shared" si="143"/>
        <v>0.1</v>
      </c>
      <c r="AH240" s="420">
        <f t="shared" si="143"/>
        <v>0.1</v>
      </c>
      <c r="AI240" s="420">
        <f t="shared" si="143"/>
        <v>0.1</v>
      </c>
      <c r="AJ240" s="420">
        <f t="shared" si="143"/>
        <v>0.1</v>
      </c>
      <c r="AK240" s="420"/>
      <c r="AL240" s="420"/>
      <c r="AM240" s="193"/>
      <c r="AN240" s="411">
        <f t="shared" si="96"/>
        <v>0.99999999999999989</v>
      </c>
      <c r="AO240" s="399">
        <f ca="1">AN240*U240</f>
        <v>1499.9999999999998</v>
      </c>
      <c r="AP240" s="32">
        <f ca="1">U240*AN240</f>
        <v>1499.9999999999998</v>
      </c>
      <c r="AQ240" s="260">
        <f t="shared" ca="1" si="105"/>
        <v>0</v>
      </c>
    </row>
    <row r="241" spans="1:43" hidden="1" outlineLevel="1" x14ac:dyDescent="0.3">
      <c r="B241" s="26" t="s">
        <v>703</v>
      </c>
      <c r="C241" s="27">
        <v>1</v>
      </c>
      <c r="D241" s="129" t="s">
        <v>707</v>
      </c>
      <c r="E241" s="141" t="s">
        <v>304</v>
      </c>
      <c r="L241" s="27"/>
      <c r="M241" s="27"/>
      <c r="N241" s="27"/>
      <c r="P241" s="58">
        <v>50</v>
      </c>
      <c r="Q241" s="232">
        <v>55</v>
      </c>
      <c r="R241" s="298">
        <f xml:space="preserve"> 10^(LOG(Q241/P241)/LOG(Q$6/P$6)-1)</f>
        <v>0.12706250124917753</v>
      </c>
      <c r="S241" s="32">
        <f ca="1">P241*(10*R241)^LOG(wing_area/ref_wing_area)</f>
        <v>42.292656167156146</v>
      </c>
      <c r="T241" s="397">
        <v>0.1</v>
      </c>
      <c r="U241" s="32">
        <f ca="1">S241*(10*T241)^LOG(Q_prototype)</f>
        <v>42.292656167156146</v>
      </c>
      <c r="V241"/>
      <c r="W241" s="26" t="s">
        <v>704</v>
      </c>
      <c r="X241"/>
      <c r="Y241" s="413"/>
      <c r="Z241" s="420">
        <f t="shared" ref="Z241:AJ241" si="144">1/11</f>
        <v>9.0909090909090912E-2</v>
      </c>
      <c r="AA241" s="420">
        <f t="shared" si="144"/>
        <v>9.0909090909090912E-2</v>
      </c>
      <c r="AB241" s="420">
        <f t="shared" si="144"/>
        <v>9.0909090909090912E-2</v>
      </c>
      <c r="AC241" s="420">
        <f t="shared" si="144"/>
        <v>9.0909090909090912E-2</v>
      </c>
      <c r="AD241" s="420">
        <f t="shared" si="144"/>
        <v>9.0909090909090912E-2</v>
      </c>
      <c r="AE241" s="420">
        <f t="shared" si="144"/>
        <v>9.0909090909090912E-2</v>
      </c>
      <c r="AF241" s="420">
        <f t="shared" si="144"/>
        <v>9.0909090909090912E-2</v>
      </c>
      <c r="AG241" s="420">
        <f t="shared" si="144"/>
        <v>9.0909090909090912E-2</v>
      </c>
      <c r="AH241" s="420">
        <f t="shared" si="144"/>
        <v>9.0909090909090912E-2</v>
      </c>
      <c r="AI241" s="420">
        <f t="shared" si="144"/>
        <v>9.0909090909090912E-2</v>
      </c>
      <c r="AJ241" s="420">
        <f t="shared" si="144"/>
        <v>9.0909090909090912E-2</v>
      </c>
      <c r="AK241" s="420"/>
      <c r="AL241" s="420"/>
      <c r="AM241" s="193"/>
      <c r="AN241" s="411">
        <f t="shared" si="96"/>
        <v>1.0000000000000002</v>
      </c>
      <c r="AO241" s="399">
        <f ca="1">AN241*U241</f>
        <v>42.292656167156153</v>
      </c>
      <c r="AP241" s="32">
        <f ca="1">U241*AN241</f>
        <v>42.292656167156153</v>
      </c>
      <c r="AQ241" s="260">
        <f t="shared" ca="1" si="105"/>
        <v>0</v>
      </c>
    </row>
    <row r="242" spans="1:43" collapsed="1" x14ac:dyDescent="0.3">
      <c r="A242" s="346"/>
      <c r="B242" s="26" t="s">
        <v>703</v>
      </c>
      <c r="C242" s="27">
        <v>3</v>
      </c>
      <c r="D242" s="129" t="s">
        <v>707</v>
      </c>
      <c r="E242" s="230" t="s">
        <v>701</v>
      </c>
      <c r="F242" s="230"/>
      <c r="G242" s="230"/>
      <c r="H242" s="230"/>
      <c r="I242" s="230"/>
      <c r="J242" s="230"/>
      <c r="K242" s="230"/>
      <c r="L242" s="229"/>
      <c r="M242" s="229"/>
      <c r="N242" s="229"/>
      <c r="O242" s="229"/>
      <c r="P242" s="229">
        <f>SUM(P239:P241)</f>
        <v>1551</v>
      </c>
      <c r="Q242" s="229">
        <f>SUM(Q239:Q241)</f>
        <v>1556</v>
      </c>
      <c r="R242" s="272">
        <f xml:space="preserve"> 10^(LOG(Q242/P242)/LOG(Q$6/P$6)-1)</f>
        <v>0.10081208032525903</v>
      </c>
      <c r="S242" s="229">
        <f ca="1">SUM(S239:S241)</f>
        <v>1543.2926561671561</v>
      </c>
      <c r="T242" s="405">
        <f ca="1">IFERROR(10^(LOG(U242/S242)/LOG(Q_prototype)-1),0)</f>
        <v>0.1</v>
      </c>
      <c r="U242" s="229">
        <f ca="1">SUM(U239:U241)</f>
        <v>1543.2926561671561</v>
      </c>
      <c r="V242" s="333"/>
      <c r="W242" s="26" t="s">
        <v>305</v>
      </c>
      <c r="X242" s="333"/>
      <c r="Y242" s="262">
        <f ca="1">SUMPRODUCT($U239:$U241,Y239:Y241)</f>
        <v>0</v>
      </c>
      <c r="Z242" s="262">
        <f t="shared" ref="Z242:AL242" ca="1" si="145">SUMPRODUCT($U239:$U241,Z239:Z241)</f>
        <v>3.8447869242869226</v>
      </c>
      <c r="AA242" s="262">
        <f t="shared" ca="1" si="145"/>
        <v>153.84478692428692</v>
      </c>
      <c r="AB242" s="262">
        <f t="shared" ca="1" si="145"/>
        <v>153.84478692428692</v>
      </c>
      <c r="AC242" s="262">
        <f t="shared" ca="1" si="145"/>
        <v>153.96978692428692</v>
      </c>
      <c r="AD242" s="262">
        <f t="shared" ca="1" si="145"/>
        <v>153.96978692428692</v>
      </c>
      <c r="AE242" s="262">
        <f t="shared" ca="1" si="145"/>
        <v>153.96978692428692</v>
      </c>
      <c r="AF242" s="262">
        <f t="shared" ca="1" si="145"/>
        <v>153.96978692428692</v>
      </c>
      <c r="AG242" s="262">
        <f t="shared" ca="1" si="145"/>
        <v>153.96978692428692</v>
      </c>
      <c r="AH242" s="262">
        <f t="shared" ca="1" si="145"/>
        <v>153.96978692428692</v>
      </c>
      <c r="AI242" s="262">
        <f t="shared" ca="1" si="145"/>
        <v>153.96978692428692</v>
      </c>
      <c r="AJ242" s="262">
        <f t="shared" ca="1" si="145"/>
        <v>153.96978692428692</v>
      </c>
      <c r="AK242" s="262">
        <f t="shared" ca="1" si="145"/>
        <v>0</v>
      </c>
      <c r="AL242" s="262">
        <f t="shared" ca="1" si="145"/>
        <v>0</v>
      </c>
      <c r="AM242" s="336"/>
      <c r="AN242" s="229">
        <f t="shared" ca="1" si="96"/>
        <v>1543.2926561671559</v>
      </c>
      <c r="AO242" s="314"/>
      <c r="AP242" s="229"/>
      <c r="AQ242" s="260">
        <f t="shared" ca="1" si="105"/>
        <v>-1543.2926561671561</v>
      </c>
    </row>
    <row r="243" spans="1:43" x14ac:dyDescent="0.3">
      <c r="C243"/>
      <c r="D243" s="139"/>
      <c r="L243" s="27"/>
      <c r="M243" s="27"/>
      <c r="N243" s="27"/>
      <c r="Q243" s="27"/>
      <c r="R243" s="266"/>
      <c r="T243" s="266"/>
      <c r="V243"/>
      <c r="X243"/>
      <c r="Y243" s="26"/>
      <c r="AQ243" s="260">
        <f t="shared" si="105"/>
        <v>0</v>
      </c>
    </row>
    <row r="244" spans="1:43" s="260" customFormat="1" x14ac:dyDescent="0.3">
      <c r="A244" s="348"/>
      <c r="B244" s="348" t="s">
        <v>297</v>
      </c>
      <c r="C244" s="27">
        <v>4</v>
      </c>
      <c r="D244" s="129" t="s">
        <v>709</v>
      </c>
      <c r="E244" s="262" t="s">
        <v>708</v>
      </c>
      <c r="F244" s="262"/>
      <c r="G244" s="262"/>
      <c r="H244" s="262"/>
      <c r="I244" s="262"/>
      <c r="J244" s="262"/>
      <c r="K244" s="262"/>
      <c r="L244" s="229"/>
      <c r="M244" s="229"/>
      <c r="N244" s="229"/>
      <c r="O244" s="229"/>
      <c r="P244" s="229">
        <f t="shared" ref="P244:U244" ca="1" si="146">P250*average_wage*(1+employer_contributions)</f>
        <v>22911.501313953489</v>
      </c>
      <c r="Q244" s="229">
        <f t="shared" ca="1" si="146"/>
        <v>24691.065976744187</v>
      </c>
      <c r="R244" s="272">
        <f ca="1" xml:space="preserve"> 10^(LOG(Q244/P244)/LOG(Q$6/P$6)-1)</f>
        <v>0.12068023697913355</v>
      </c>
      <c r="S244" s="229">
        <f t="shared" ca="1" si="146"/>
        <v>20734.342418980519</v>
      </c>
      <c r="T244" s="272">
        <f ca="1">IFERROR(10^(LOG(U244/S244)/LOG(Q_prototype)-1),0)</f>
        <v>0.1</v>
      </c>
      <c r="U244" s="229">
        <f t="shared" ca="1" si="146"/>
        <v>20734.342418980519</v>
      </c>
      <c r="V244" s="333"/>
      <c r="W244" s="260" t="s">
        <v>305</v>
      </c>
      <c r="X244" s="333"/>
      <c r="Y244" s="262">
        <f t="shared" ref="Y244:AL244" ca="1" si="147">Y250*average_wage*(1+employer_contributions)</f>
        <v>0</v>
      </c>
      <c r="Z244" s="262">
        <f t="shared" ca="1" si="147"/>
        <v>804.23351384827799</v>
      </c>
      <c r="AA244" s="262">
        <f t="shared" ca="1" si="147"/>
        <v>984.23351384827799</v>
      </c>
      <c r="AB244" s="262">
        <f t="shared" ca="1" si="147"/>
        <v>1149.2335138482781</v>
      </c>
      <c r="AC244" s="262">
        <f t="shared" ca="1" si="147"/>
        <v>2628.6284574730998</v>
      </c>
      <c r="AD244" s="262">
        <f t="shared" ca="1" si="147"/>
        <v>3018.6284574730998</v>
      </c>
      <c r="AE244" s="262">
        <f t="shared" ca="1" si="147"/>
        <v>2211.7453878541514</v>
      </c>
      <c r="AF244" s="262">
        <f t="shared" ca="1" si="147"/>
        <v>2151.7453878541514</v>
      </c>
      <c r="AG244" s="262">
        <f t="shared" ca="1" si="147"/>
        <v>2001.7453878541514</v>
      </c>
      <c r="AH244" s="262">
        <f t="shared" ca="1" si="147"/>
        <v>1968.5892849744869</v>
      </c>
      <c r="AI244" s="262">
        <f t="shared" ca="1" si="147"/>
        <v>1907.7797569762718</v>
      </c>
      <c r="AJ244" s="262">
        <f t="shared" ca="1" si="147"/>
        <v>1907.7797569762718</v>
      </c>
      <c r="AK244" s="262">
        <f t="shared" ca="1" si="147"/>
        <v>0</v>
      </c>
      <c r="AL244" s="262">
        <f t="shared" ca="1" si="147"/>
        <v>0</v>
      </c>
      <c r="AM244" s="338"/>
      <c r="AN244" s="262"/>
      <c r="AO244" s="314"/>
      <c r="AP244" s="229">
        <f ca="1">SUM(Y244:AM244)</f>
        <v>20734.342418980519</v>
      </c>
      <c r="AQ244" s="459">
        <f ca="1">AP244-U244</f>
        <v>0</v>
      </c>
    </row>
    <row r="245" spans="1:43" s="260" customFormat="1" x14ac:dyDescent="0.3">
      <c r="A245" s="348"/>
      <c r="B245" s="348" t="s">
        <v>297</v>
      </c>
      <c r="C245" s="27">
        <v>4</v>
      </c>
      <c r="D245" s="129" t="s">
        <v>707</v>
      </c>
      <c r="E245" s="262" t="s">
        <v>552</v>
      </c>
      <c r="F245" s="262"/>
      <c r="G245" s="262"/>
      <c r="H245" s="262"/>
      <c r="I245" s="262"/>
      <c r="J245" s="262"/>
      <c r="K245" s="262"/>
      <c r="L245" s="229"/>
      <c r="M245" s="229"/>
      <c r="N245" s="229"/>
      <c r="O245" s="229"/>
      <c r="P245" s="229">
        <f>P97+P156+P229+P242</f>
        <v>35239</v>
      </c>
      <c r="Q245" s="229">
        <f>Q97+Q156+Q229+Q242</f>
        <v>46776</v>
      </c>
      <c r="R245" s="272">
        <f xml:space="preserve"> 10^(LOG(Q245/P245)/LOG(Q$6/P$6)-1)</f>
        <v>0.20374669497674791</v>
      </c>
      <c r="S245" s="229">
        <f ca="1">S97+S156+S229+S242</f>
        <v>24658.759794903501</v>
      </c>
      <c r="T245" s="272">
        <f ca="1">IFERROR(10^(LOG(U245/S245)/LOG(Q_prototype)-1),0)</f>
        <v>0.12212729697452064</v>
      </c>
      <c r="U245" s="229">
        <f ca="1">U97+U156+U229+U242</f>
        <v>26188.128928270697</v>
      </c>
      <c r="V245" s="333"/>
      <c r="W245" s="260" t="s">
        <v>305</v>
      </c>
      <c r="X245" s="333"/>
      <c r="Y245" s="262">
        <f t="shared" ref="Y245:AJ245" ca="1" si="148">Y97+Y156+Y229+Y242</f>
        <v>0</v>
      </c>
      <c r="Z245" s="262">
        <f t="shared" ca="1" si="148"/>
        <v>448.84478692428695</v>
      </c>
      <c r="AA245" s="262">
        <f t="shared" ca="1" si="148"/>
        <v>778.84478692428695</v>
      </c>
      <c r="AB245" s="262">
        <f t="shared" ca="1" si="148"/>
        <v>1742.8042484760249</v>
      </c>
      <c r="AC245" s="262">
        <f t="shared" ca="1" si="148"/>
        <v>2668.9022228438503</v>
      </c>
      <c r="AD245" s="262">
        <f t="shared" ca="1" si="148"/>
        <v>6958.9420676326363</v>
      </c>
      <c r="AE245" s="262">
        <f t="shared" ca="1" si="148"/>
        <v>4478.9115250828881</v>
      </c>
      <c r="AF245" s="262">
        <f t="shared" ca="1" si="148"/>
        <v>1675.5262598048316</v>
      </c>
      <c r="AG245" s="262">
        <f t="shared" ca="1" si="148"/>
        <v>2012.1076081415965</v>
      </c>
      <c r="AH245" s="262">
        <f t="shared" ca="1" si="148"/>
        <v>1752.3193614078109</v>
      </c>
      <c r="AI245" s="262">
        <f t="shared" ca="1" si="148"/>
        <v>516.95627410819964</v>
      </c>
      <c r="AJ245" s="262">
        <f t="shared" ca="1" si="148"/>
        <v>3153.9697869242868</v>
      </c>
      <c r="AK245" s="262">
        <f ca="1">AK95+AK154+AK227+AK241</f>
        <v>0</v>
      </c>
      <c r="AL245" s="341">
        <f ca="1">AL95+AL154+AL227+AL241</f>
        <v>0</v>
      </c>
      <c r="AM245" s="338"/>
      <c r="AN245" s="262"/>
      <c r="AO245" s="314"/>
      <c r="AP245" s="229">
        <f ca="1">SUM(Y245:AM245)</f>
        <v>26188.1289282707</v>
      </c>
    </row>
    <row r="246" spans="1:43" s="260" customFormat="1" x14ac:dyDescent="0.3">
      <c r="B246" s="348" t="s">
        <v>297</v>
      </c>
      <c r="C246" s="27">
        <v>5</v>
      </c>
      <c r="D246" s="129" t="s">
        <v>297</v>
      </c>
      <c r="E246" s="263" t="s">
        <v>306</v>
      </c>
      <c r="F246" s="263"/>
      <c r="G246" s="263"/>
      <c r="H246" s="263"/>
      <c r="I246" s="263"/>
      <c r="J246" s="263"/>
      <c r="K246" s="263"/>
      <c r="L246" s="263"/>
      <c r="M246" s="263"/>
      <c r="N246" s="263"/>
      <c r="O246" s="263"/>
      <c r="P246" s="172">
        <f ca="1">P244+P245</f>
        <v>58150.501313953486</v>
      </c>
      <c r="Q246" s="172">
        <f ca="1">Q244+Q245</f>
        <v>71467.065976744183</v>
      </c>
      <c r="R246" s="278">
        <f ca="1" xml:space="preserve"> 10^(LOG(Q246/P246)/LOG(Q$6/P$6)-1)</f>
        <v>0.16789593306074924</v>
      </c>
      <c r="S246" s="172">
        <f ca="1">S244+S245</f>
        <v>45393.10221388402</v>
      </c>
      <c r="T246" s="278">
        <f ca="1">IFERROR(10^(LOG(U246/S246)/LOG(Q_prototype)-1),0)</f>
        <v>0.11163642318365316</v>
      </c>
      <c r="U246" s="172">
        <f ca="1">U244+U245</f>
        <v>46922.471347251216</v>
      </c>
      <c r="V246" s="32"/>
      <c r="W246" s="260" t="s">
        <v>305</v>
      </c>
      <c r="X246" s="32"/>
      <c r="Y246" s="263">
        <f t="shared" ref="Y246:AL246" ca="1" si="149">Y244+Y245</f>
        <v>0</v>
      </c>
      <c r="Z246" s="263">
        <f t="shared" ca="1" si="149"/>
        <v>1253.0783007725649</v>
      </c>
      <c r="AA246" s="263">
        <f t="shared" ca="1" si="149"/>
        <v>1763.0783007725649</v>
      </c>
      <c r="AB246" s="263">
        <f t="shared" ca="1" si="149"/>
        <v>2892.037762324303</v>
      </c>
      <c r="AC246" s="263">
        <f t="shared" ca="1" si="149"/>
        <v>5297.5306803169497</v>
      </c>
      <c r="AD246" s="263">
        <f t="shared" ca="1" si="149"/>
        <v>9977.570525105737</v>
      </c>
      <c r="AE246" s="263">
        <f t="shared" ca="1" si="149"/>
        <v>6690.65691293704</v>
      </c>
      <c r="AF246" s="263">
        <f t="shared" ca="1" si="149"/>
        <v>3827.2716476589831</v>
      </c>
      <c r="AG246" s="263">
        <f t="shared" ca="1" si="149"/>
        <v>4013.8529959957477</v>
      </c>
      <c r="AH246" s="263">
        <f t="shared" ca="1" si="149"/>
        <v>3720.9086463822978</v>
      </c>
      <c r="AI246" s="263">
        <f t="shared" ca="1" si="149"/>
        <v>2424.7360310844715</v>
      </c>
      <c r="AJ246" s="263">
        <f t="shared" ca="1" si="149"/>
        <v>5061.7495439005588</v>
      </c>
      <c r="AK246" s="263">
        <f t="shared" ca="1" si="149"/>
        <v>0</v>
      </c>
      <c r="AL246" s="263">
        <f t="shared" ca="1" si="149"/>
        <v>0</v>
      </c>
      <c r="AN246" s="263"/>
      <c r="AO246" s="433"/>
      <c r="AP246" s="172">
        <f ca="1">SUM(Y246:AM246)</f>
        <v>46922.471347251216</v>
      </c>
    </row>
    <row r="247" spans="1:43" customFormat="1" x14ac:dyDescent="0.3">
      <c r="D247" s="139"/>
      <c r="E247" s="486" t="s">
        <v>792</v>
      </c>
      <c r="F247" s="487"/>
      <c r="G247" s="487"/>
      <c r="H247" s="487"/>
      <c r="I247" s="487"/>
      <c r="J247" s="487"/>
      <c r="K247" s="487"/>
      <c r="L247" s="487"/>
      <c r="M247" s="487"/>
      <c r="N247" s="487"/>
      <c r="O247" s="487"/>
      <c r="P247" s="487"/>
      <c r="Q247" s="487"/>
      <c r="R247" s="488"/>
      <c r="S247" s="473"/>
      <c r="T247" s="488"/>
      <c r="U247" s="473"/>
      <c r="V247" s="487"/>
      <c r="W247" s="490">
        <v>0.25</v>
      </c>
      <c r="X247" s="487"/>
      <c r="Y247" s="486"/>
      <c r="Z247" s="489">
        <f ca="1">-Z244*$W$247</f>
        <v>-201.0583784620695</v>
      </c>
      <c r="AA247" s="489">
        <f t="shared" ref="AA247:AJ247" ca="1" si="150">-AA244*$W$247</f>
        <v>-246.0583784620695</v>
      </c>
      <c r="AB247" s="489">
        <f t="shared" ca="1" si="150"/>
        <v>-287.30837846206953</v>
      </c>
      <c r="AC247" s="489">
        <f t="shared" ca="1" si="150"/>
        <v>-657.15711436827496</v>
      </c>
      <c r="AD247" s="489">
        <f t="shared" ca="1" si="150"/>
        <v>-754.65711436827496</v>
      </c>
      <c r="AE247" s="489">
        <f t="shared" ca="1" si="150"/>
        <v>-552.93634696353786</v>
      </c>
      <c r="AF247" s="489">
        <f t="shared" ca="1" si="150"/>
        <v>-537.93634696353786</v>
      </c>
      <c r="AG247" s="489">
        <f t="shared" ca="1" si="150"/>
        <v>-500.43634696353786</v>
      </c>
      <c r="AH247" s="489">
        <f t="shared" ca="1" si="150"/>
        <v>-492.14732124362172</v>
      </c>
      <c r="AI247" s="489">
        <f t="shared" ca="1" si="150"/>
        <v>-476.94493924406794</v>
      </c>
      <c r="AJ247" s="489">
        <f t="shared" ca="1" si="150"/>
        <v>-476.94493924406794</v>
      </c>
      <c r="AK247" s="486"/>
      <c r="AL247" s="486"/>
      <c r="AN247" s="241"/>
      <c r="AO247" s="251"/>
      <c r="AP247" s="32">
        <f ca="1">AP246-U246</f>
        <v>0</v>
      </c>
    </row>
    <row r="249" spans="1:43" x14ac:dyDescent="0.3">
      <c r="AO249" s="432">
        <f ca="1">AO250-U250</f>
        <v>0</v>
      </c>
    </row>
    <row r="250" spans="1:43" s="260" customFormat="1" x14ac:dyDescent="0.3">
      <c r="A250" s="348"/>
      <c r="B250" s="348" t="s">
        <v>297</v>
      </c>
      <c r="C250" s="27">
        <v>4</v>
      </c>
      <c r="D250" s="129" t="s">
        <v>695</v>
      </c>
      <c r="E250" s="262" t="s">
        <v>706</v>
      </c>
      <c r="F250" s="262"/>
      <c r="G250" s="262"/>
      <c r="H250" s="262"/>
      <c r="I250" s="262"/>
      <c r="J250" s="262"/>
      <c r="K250" s="262"/>
      <c r="L250" s="229"/>
      <c r="M250" s="229"/>
      <c r="N250" s="229"/>
      <c r="O250" s="229"/>
      <c r="P250" s="229">
        <f>P41+P192+P235+P128</f>
        <v>381.85835523255815</v>
      </c>
      <c r="Q250" s="229">
        <f>Q41+Q192+Q235+Q128</f>
        <v>411.51776627906975</v>
      </c>
      <c r="R250" s="272">
        <f ca="1">IFERROR(10^(LOG(S250/Q250)/LOG(Q_prototype)-1),0)</f>
        <v>5.5980035665229647E-2</v>
      </c>
      <c r="S250" s="229">
        <f ca="1">S41+S192+S235+S128</f>
        <v>345.57237364967534</v>
      </c>
      <c r="T250" s="272">
        <f ca="1">IFERROR(10^(LOG(U250/S250)/LOG(Q_prototype)-1),0)</f>
        <v>0.1</v>
      </c>
      <c r="U250" s="229">
        <f ca="1">U41+U192+U235+U128</f>
        <v>345.57237364967534</v>
      </c>
      <c r="V250" s="333"/>
      <c r="W250" s="421" t="s">
        <v>695</v>
      </c>
      <c r="X250" s="333"/>
      <c r="Y250" s="262">
        <f t="shared" ref="Y250:AL250" ca="1" si="151">Y41+Y192+Y235+Y128</f>
        <v>0</v>
      </c>
      <c r="Z250" s="262">
        <f t="shared" ca="1" si="151"/>
        <v>13.403891897471301</v>
      </c>
      <c r="AA250" s="262">
        <f t="shared" ca="1" si="151"/>
        <v>16.403891897471301</v>
      </c>
      <c r="AB250" s="262">
        <f t="shared" ca="1" si="151"/>
        <v>19.153891897471301</v>
      </c>
      <c r="AC250" s="262">
        <f t="shared" ca="1" si="151"/>
        <v>43.810474291218334</v>
      </c>
      <c r="AD250" s="262">
        <f t="shared" ca="1" si="151"/>
        <v>50.310474291218334</v>
      </c>
      <c r="AE250" s="262">
        <f t="shared" ca="1" si="151"/>
        <v>36.862423130902528</v>
      </c>
      <c r="AF250" s="262">
        <f t="shared" ca="1" si="151"/>
        <v>35.862423130902528</v>
      </c>
      <c r="AG250" s="262">
        <f t="shared" ca="1" si="151"/>
        <v>33.362423130902528</v>
      </c>
      <c r="AH250" s="262">
        <f t="shared" ca="1" si="151"/>
        <v>32.809821416241448</v>
      </c>
      <c r="AI250" s="262">
        <f t="shared" ca="1" si="151"/>
        <v>31.796329282937862</v>
      </c>
      <c r="AJ250" s="262">
        <f t="shared" ca="1" si="151"/>
        <v>31.796329282937862</v>
      </c>
      <c r="AK250" s="262">
        <f t="shared" ca="1" si="151"/>
        <v>0</v>
      </c>
      <c r="AL250" s="341">
        <f t="shared" ca="1" si="151"/>
        <v>0</v>
      </c>
      <c r="AM250" s="338"/>
      <c r="AN250" s="411">
        <f ca="1">AO250/U250</f>
        <v>0.99999999999999989</v>
      </c>
      <c r="AO250" s="314">
        <f ca="1">SUM(Y250:AL250)</f>
        <v>345.57237364967528</v>
      </c>
      <c r="AP250" s="229">
        <f ca="1">AP41+AP192+AP235+AP128</f>
        <v>20409.986647854312</v>
      </c>
      <c r="AQ250" s="458">
        <f ca="1">AP250-U250*(1+employer_contributions)*average_wage</f>
        <v>-324.3557711262074</v>
      </c>
    </row>
    <row r="251" spans="1:43" s="260" customFormat="1" x14ac:dyDescent="0.3">
      <c r="A251" s="348"/>
      <c r="B251" s="348" t="s">
        <v>297</v>
      </c>
      <c r="C251" s="27">
        <v>4</v>
      </c>
      <c r="D251" s="129" t="s">
        <v>692</v>
      </c>
      <c r="E251" s="262" t="s">
        <v>553</v>
      </c>
      <c r="F251" s="262"/>
      <c r="G251" s="262"/>
      <c r="H251" s="262"/>
      <c r="I251" s="262"/>
      <c r="J251" s="262"/>
      <c r="K251" s="262"/>
      <c r="L251" s="229"/>
      <c r="M251" s="229"/>
      <c r="N251" s="229"/>
      <c r="O251" s="229"/>
      <c r="P251" s="229">
        <f>P41+P128+P192+P235</f>
        <v>381.85835523255815</v>
      </c>
      <c r="Q251" s="229">
        <f>Q41+Q128+Q192+Q235</f>
        <v>411.51776627906975</v>
      </c>
      <c r="R251" s="272">
        <f ca="1">IFERROR(10^(LOG(S251/Q251)/LOG(Q_prototype)-1),0)</f>
        <v>5.5980035665229647E-2</v>
      </c>
      <c r="S251" s="229">
        <f ca="1">S41+S128+S192+S235</f>
        <v>345.57237364967534</v>
      </c>
      <c r="T251" s="272">
        <f ca="1">IFERROR(10^(LOG(U251/S251)/LOG(Q_prototype)-1),0)</f>
        <v>0.1</v>
      </c>
      <c r="U251" s="229">
        <f ca="1">U41+U128+U192+U235</f>
        <v>345.57237364967534</v>
      </c>
      <c r="V251" s="333"/>
      <c r="W251" s="421" t="s">
        <v>692</v>
      </c>
      <c r="X251" s="333"/>
      <c r="Y251" s="262">
        <f t="shared" ref="Y251:AL251" ca="1" si="152">Y42+Y193+Y236+Y129</f>
        <v>0</v>
      </c>
      <c r="Z251" s="262">
        <f t="shared" ca="1" si="152"/>
        <v>26.807783794942601</v>
      </c>
      <c r="AA251" s="262">
        <f t="shared" ca="1" si="152"/>
        <v>32.807783794942601</v>
      </c>
      <c r="AB251" s="262">
        <f t="shared" ca="1" si="152"/>
        <v>38.307783794942601</v>
      </c>
      <c r="AC251" s="262">
        <f t="shared" ca="1" si="152"/>
        <v>87.620948582436668</v>
      </c>
      <c r="AD251" s="262">
        <f t="shared" ca="1" si="152"/>
        <v>100.62094858243667</v>
      </c>
      <c r="AE251" s="262">
        <f t="shared" ca="1" si="152"/>
        <v>73.724846261805055</v>
      </c>
      <c r="AF251" s="262">
        <f t="shared" ca="1" si="152"/>
        <v>71.724846261805055</v>
      </c>
      <c r="AG251" s="262">
        <f t="shared" ca="1" si="152"/>
        <v>66.724846261805055</v>
      </c>
      <c r="AH251" s="262">
        <f t="shared" ca="1" si="152"/>
        <v>65.619642832482896</v>
      </c>
      <c r="AI251" s="262">
        <f t="shared" ca="1" si="152"/>
        <v>63.592658565875723</v>
      </c>
      <c r="AJ251" s="262">
        <f t="shared" ca="1" si="152"/>
        <v>63.592658565875723</v>
      </c>
      <c r="AK251" s="262">
        <f t="shared" ca="1" si="152"/>
        <v>0</v>
      </c>
      <c r="AL251" s="341">
        <f t="shared" ca="1" si="152"/>
        <v>0</v>
      </c>
      <c r="AM251" s="338"/>
      <c r="AN251" s="411">
        <f ca="1">AO251/U251</f>
        <v>1.9999999999999998</v>
      </c>
      <c r="AO251" s="314">
        <f ca="1">SUM(Y251:AL251)</f>
        <v>691.14474729935057</v>
      </c>
      <c r="AP251" s="229"/>
    </row>
    <row r="252" spans="1:43" x14ac:dyDescent="0.3">
      <c r="Q252" s="311">
        <f>IFERROR(Q251/Q250,0)</f>
        <v>1</v>
      </c>
      <c r="S252" s="311">
        <f ca="1">IFERROR(S251/S250,0)</f>
        <v>1</v>
      </c>
      <c r="U252" s="311">
        <f ca="1">IFERROR(U251/U250,0)</f>
        <v>1</v>
      </c>
      <c r="W252" s="26" t="s">
        <v>710</v>
      </c>
      <c r="Y252" s="312">
        <f ca="1">IFERROR(Y251/Y250,0)</f>
        <v>0</v>
      </c>
      <c r="Z252" s="312">
        <f t="shared" ref="Z252:AL252" ca="1" si="153">IFERROR(Z251/Z250,0)</f>
        <v>2</v>
      </c>
      <c r="AA252" s="312">
        <f t="shared" ca="1" si="153"/>
        <v>2</v>
      </c>
      <c r="AB252" s="312">
        <f t="shared" ca="1" si="153"/>
        <v>2</v>
      </c>
      <c r="AC252" s="312">
        <f t="shared" ca="1" si="153"/>
        <v>2</v>
      </c>
      <c r="AD252" s="312">
        <f t="shared" ca="1" si="153"/>
        <v>2</v>
      </c>
      <c r="AE252" s="312">
        <f t="shared" ca="1" si="153"/>
        <v>2</v>
      </c>
      <c r="AF252" s="312">
        <f t="shared" ca="1" si="153"/>
        <v>2</v>
      </c>
      <c r="AG252" s="312">
        <f t="shared" ca="1" si="153"/>
        <v>2</v>
      </c>
      <c r="AH252" s="312">
        <f t="shared" ca="1" si="153"/>
        <v>2</v>
      </c>
      <c r="AI252" s="312">
        <f t="shared" ca="1" si="153"/>
        <v>2</v>
      </c>
      <c r="AJ252" s="312">
        <f t="shared" ca="1" si="153"/>
        <v>2</v>
      </c>
      <c r="AK252" s="312">
        <f t="shared" ca="1" si="153"/>
        <v>0</v>
      </c>
      <c r="AL252" s="312">
        <f t="shared" ca="1" si="153"/>
        <v>0</v>
      </c>
      <c r="AO252" s="311">
        <f ca="1">IFERROR(AO251/AO250,0)</f>
        <v>2</v>
      </c>
      <c r="AP252" s="311"/>
    </row>
    <row r="255" spans="1:43" x14ac:dyDescent="0.3">
      <c r="W255" s="26" t="s">
        <v>807</v>
      </c>
      <c r="Y255" s="260">
        <v>0</v>
      </c>
      <c r="Z255" s="26">
        <v>1</v>
      </c>
      <c r="AA255" s="26">
        <v>2</v>
      </c>
      <c r="AB255" s="26">
        <v>3</v>
      </c>
      <c r="AC255" s="260">
        <v>4</v>
      </c>
      <c r="AD255" s="26">
        <v>5</v>
      </c>
      <c r="AE255" s="26">
        <v>6</v>
      </c>
      <c r="AG255" s="26" t="s">
        <v>297</v>
      </c>
    </row>
    <row r="256" spans="1:43" x14ac:dyDescent="0.3">
      <c r="W256" s="26" t="s">
        <v>804</v>
      </c>
      <c r="Y256" s="260">
        <v>1</v>
      </c>
      <c r="Z256" s="260">
        <v>2</v>
      </c>
      <c r="AA256" s="260">
        <v>3</v>
      </c>
      <c r="AB256" s="260">
        <v>4</v>
      </c>
      <c r="AC256" s="260">
        <v>5</v>
      </c>
      <c r="AD256" s="260">
        <v>6</v>
      </c>
      <c r="AE256" s="260">
        <v>7</v>
      </c>
    </row>
    <row r="258" spans="23:33" x14ac:dyDescent="0.3">
      <c r="W258" s="26" t="s">
        <v>690</v>
      </c>
      <c r="Y258" s="260">
        <f ca="1">OFFSET($Y$250,0,Y$255*2)+OFFSET($Y$250,0,Y$255*2+1)</f>
        <v>13.403891897471301</v>
      </c>
      <c r="Z258" s="260">
        <f t="shared" ref="Z258:AE258" ca="1" si="154">OFFSET($Y$250,0,Z$255*2)+OFFSET($Y$250,0,Z$255*2+1)</f>
        <v>35.557783794942601</v>
      </c>
      <c r="AA258" s="260">
        <f t="shared" ca="1" si="154"/>
        <v>94.120948582436668</v>
      </c>
      <c r="AB258" s="260">
        <f t="shared" ca="1" si="154"/>
        <v>72.724846261805055</v>
      </c>
      <c r="AC258" s="260">
        <f t="shared" ca="1" si="154"/>
        <v>66.172244547143976</v>
      </c>
      <c r="AD258" s="260">
        <f t="shared" ca="1" si="154"/>
        <v>63.592658565875723</v>
      </c>
      <c r="AE258" s="260">
        <f t="shared" ca="1" si="154"/>
        <v>0</v>
      </c>
      <c r="AG258" s="260">
        <f ca="1">SUM(Y258:AE258)</f>
        <v>345.57237364967534</v>
      </c>
    </row>
    <row r="259" spans="23:33" x14ac:dyDescent="0.3">
      <c r="W259" s="26" t="s">
        <v>709</v>
      </c>
      <c r="Y259" s="312">
        <f ca="1">(OFFSET($Y$244,0,Y$255*2)+OFFSET($Y$244,0,Y$255*2+1))/1000</f>
        <v>0.80423351384827801</v>
      </c>
      <c r="Z259" s="312">
        <f t="shared" ref="Z259:AE259" ca="1" si="155">(OFFSET($Y$244,0,Z$255*2)+OFFSET($Y$244,0,Z$255*2+1))/1000</f>
        <v>2.1334670276965562</v>
      </c>
      <c r="AA259" s="312">
        <f t="shared" ca="1" si="155"/>
        <v>5.6472569149461993</v>
      </c>
      <c r="AB259" s="312">
        <f t="shared" ca="1" si="155"/>
        <v>4.3634907757083026</v>
      </c>
      <c r="AC259" s="312">
        <f t="shared" ca="1" si="155"/>
        <v>3.9703346728286384</v>
      </c>
      <c r="AD259" s="312">
        <f t="shared" ca="1" si="155"/>
        <v>3.8155595139525436</v>
      </c>
      <c r="AE259" s="312">
        <f t="shared" ca="1" si="155"/>
        <v>0</v>
      </c>
      <c r="AG259" s="260">
        <f ca="1">SUM(Y259:AE259)</f>
        <v>20.734342418980518</v>
      </c>
    </row>
    <row r="260" spans="23:33" x14ac:dyDescent="0.3">
      <c r="W260" s="26" t="s">
        <v>805</v>
      </c>
      <c r="Y260" s="312">
        <f ca="1">(OFFSET($Y$245,0,Y$255*2)+OFFSET($Y$245,0,Y$255*2+1))/1000</f>
        <v>0.44884478692428698</v>
      </c>
      <c r="Z260" s="312">
        <f t="shared" ref="Z260:AE260" ca="1" si="156">(OFFSET($Y$245,0,Z$255*2)+OFFSET($Y$245,0,Z$255*2+1))/1000</f>
        <v>2.5216490354003116</v>
      </c>
      <c r="AA260" s="312">
        <f t="shared" ca="1" si="156"/>
        <v>9.6278442904764869</v>
      </c>
      <c r="AB260" s="312">
        <f t="shared" ca="1" si="156"/>
        <v>6.154437784887719</v>
      </c>
      <c r="AC260" s="312">
        <f t="shared" ca="1" si="156"/>
        <v>3.7644269695494077</v>
      </c>
      <c r="AD260" s="312">
        <f t="shared" ca="1" si="156"/>
        <v>3.6709260610324863</v>
      </c>
      <c r="AE260" s="312">
        <f t="shared" ca="1" si="156"/>
        <v>0</v>
      </c>
      <c r="AG260" s="260">
        <f ca="1">SUM(Y260:AE260)</f>
        <v>26.1881289282707</v>
      </c>
    </row>
    <row r="261" spans="23:33" x14ac:dyDescent="0.3">
      <c r="W261" s="494" t="s">
        <v>806</v>
      </c>
      <c r="X261" s="495"/>
      <c r="Y261" s="496">
        <f ca="1">SUM(Y259:Y260)</f>
        <v>1.253078300772565</v>
      </c>
      <c r="Z261" s="496">
        <f t="shared" ref="Z261:AE261" ca="1" si="157">SUM(Z259:Z260)</f>
        <v>4.6551160630968678</v>
      </c>
      <c r="AA261" s="496">
        <f t="shared" ca="1" si="157"/>
        <v>15.275101205422686</v>
      </c>
      <c r="AB261" s="496">
        <f t="shared" ca="1" si="157"/>
        <v>10.517928560596022</v>
      </c>
      <c r="AC261" s="496">
        <f t="shared" ca="1" si="157"/>
        <v>7.7347616423780465</v>
      </c>
      <c r="AD261" s="496">
        <f t="shared" ca="1" si="157"/>
        <v>7.4864855749850303</v>
      </c>
      <c r="AE261" s="496">
        <f t="shared" ca="1" si="157"/>
        <v>0</v>
      </c>
      <c r="AF261" s="494"/>
      <c r="AG261" s="497">
        <f ca="1">SUM(Y261:AE261)</f>
        <v>46.922471347251225</v>
      </c>
    </row>
  </sheetData>
  <autoFilter ref="A6:AP253" xr:uid="{00000000-0009-0000-0000-00000B000000}"/>
  <conditionalFormatting sqref="Y101:AL103 Y10:AL19 Y22:AL31 Y34:AL34 Y37:AL38 Y46:AL47 Y50:AL59 Y62:AL79 Y82:AL94 Y106:AL108 Y111:AL113 Y116:AL121 Y124:AL125 Y133:AL135 Y138:AL140 Y143:AL145 Y148:AL149 Y152:AL153 Y159:AL162 Y165:AL170 Y173:AL178 Y181:AL186 Y189:AL189 Y196:AL199 Y202:AL207 Y210:AL215 Y218:AL223 Y226:AL226 Y232:AL234 Y239:AL241">
    <cfRule type="colorScale" priority="4">
      <colorScale>
        <cfvo type="min"/>
        <cfvo type="max"/>
        <color rgb="FFFCFCFF"/>
        <color rgb="FF63BE7B"/>
      </colorScale>
    </cfRule>
  </conditionalFormatting>
  <conditionalFormatting sqref="AN250">
    <cfRule type="colorScale" priority="2">
      <colorScale>
        <cfvo type="min"/>
        <cfvo type="max"/>
        <color rgb="FFFCFCFF"/>
        <color rgb="FF63BE7B"/>
      </colorScale>
    </cfRule>
  </conditionalFormatting>
  <conditionalFormatting sqref="AN251">
    <cfRule type="colorScale" priority="1">
      <colorScale>
        <cfvo type="min"/>
        <cfvo type="max"/>
        <color rgb="FFFCFCFF"/>
        <color rgb="FF63BE7B"/>
      </colorScale>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095" r:id="rId4" name="Drop Down 15">
              <controlPr defaultSize="0" autoLine="0" autoPict="0">
                <anchor>
                  <from>
                    <xdr:col>4</xdr:col>
                    <xdr:colOff>57150</xdr:colOff>
                    <xdr:row>1</xdr:row>
                    <xdr:rowOff>0</xdr:rowOff>
                  </from>
                  <to>
                    <xdr:col>5</xdr:col>
                    <xdr:colOff>323850</xdr:colOff>
                    <xdr:row>1</xdr:row>
                    <xdr:rowOff>180975</xdr:rowOff>
                  </to>
                </anchor>
              </controlPr>
            </control>
          </mc:Choice>
        </mc:AlternateContent>
        <mc:AlternateContent xmlns:mc="http://schemas.openxmlformats.org/markup-compatibility/2006">
          <mc:Choice Requires="x14">
            <control shapeId="46164" r:id="rId5" name="Drop Down 84">
              <controlPr defaultSize="0" autoLine="0" autoPict="0">
                <anchor moveWithCells="1">
                  <from>
                    <xdr:col>5</xdr:col>
                    <xdr:colOff>457200</xdr:colOff>
                    <xdr:row>1</xdr:row>
                    <xdr:rowOff>0</xdr:rowOff>
                  </from>
                  <to>
                    <xdr:col>7</xdr:col>
                    <xdr:colOff>485775</xdr:colOff>
                    <xdr:row>1</xdr:row>
                    <xdr:rowOff>180975</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tabColor theme="7" tint="0.39997558519241921"/>
  </sheetPr>
  <dimension ref="A1:AN216"/>
  <sheetViews>
    <sheetView showGridLines="0" showZeros="0" zoomScaleNormal="100" workbookViewId="0">
      <pane xSplit="1" ySplit="10" topLeftCell="B34" activePane="bottomRight" state="frozen"/>
      <selection activeCell="L105" sqref="L105"/>
      <selection pane="topRight" activeCell="L105" sqref="L105"/>
      <selection pane="bottomLeft" activeCell="L105" sqref="L105"/>
      <selection pane="bottomRight" activeCell="Q38" sqref="Q38:Q55"/>
    </sheetView>
  </sheetViews>
  <sheetFormatPr defaultColWidth="10.375" defaultRowHeight="15" outlineLevelRow="2" outlineLevelCol="1" x14ac:dyDescent="0.3"/>
  <cols>
    <col min="1" max="1" width="30.375" style="102" bestFit="1" customWidth="1"/>
    <col min="2" max="2" width="13" style="119" customWidth="1"/>
    <col min="3" max="3" width="11.875" style="119" customWidth="1"/>
    <col min="4" max="4" width="16.875" style="102" customWidth="1" outlineLevel="1"/>
    <col min="5" max="7" width="10.375" style="102" customWidth="1" outlineLevel="1"/>
    <col min="8" max="8" width="10.375" style="102" customWidth="1" outlineLevel="1" collapsed="1"/>
    <col min="9" max="9" width="9.875" style="102" customWidth="1" outlineLevel="1"/>
    <col min="10" max="10" width="8.625" style="102" customWidth="1" outlineLevel="1"/>
    <col min="11" max="11" width="10.375" style="102" customWidth="1" outlineLevel="1"/>
    <col min="12" max="12" width="18.125" style="820" customWidth="1"/>
    <col min="13" max="14" width="10.625" style="119" customWidth="1"/>
    <col min="15" max="16" width="10.375" style="119"/>
    <col min="17" max="17" width="10.375" style="83"/>
    <col min="18" max="18" width="10.375" style="119"/>
    <col min="19" max="19" width="10.375" style="162"/>
    <col min="20" max="20" width="12.625" style="119" customWidth="1"/>
    <col min="21" max="21" width="10.375" style="119"/>
    <col min="22" max="23" width="10.375" style="119" customWidth="1" outlineLevel="1"/>
    <col min="24" max="25" width="10.375" style="83"/>
    <col min="26" max="26" width="10.375" style="366"/>
    <col min="27" max="28" width="10.375" style="83"/>
    <col min="29" max="29" width="12.875" style="145" bestFit="1" customWidth="1"/>
    <col min="30" max="30" width="16" style="145" bestFit="1" customWidth="1"/>
    <col min="31" max="31" width="22.375" style="102" hidden="1" customWidth="1" outlineLevel="1"/>
    <col min="32" max="35" width="10.375" style="102" hidden="1" customWidth="1" outlineLevel="1"/>
    <col min="36" max="39" width="10.375" style="120" hidden="1" customWidth="1" outlineLevel="1"/>
    <col min="40" max="40" width="10.375" style="102" collapsed="1"/>
    <col min="41" max="16384" width="10.375" style="102"/>
  </cols>
  <sheetData>
    <row r="1" spans="1:39" ht="21" x14ac:dyDescent="0.3">
      <c r="A1" s="163" t="s">
        <v>426</v>
      </c>
    </row>
    <row r="2" spans="1:39" ht="15.75" thickBot="1" x14ac:dyDescent="0.35">
      <c r="A2" s="1432" t="s">
        <v>1054</v>
      </c>
      <c r="B2" s="511"/>
      <c r="C2" s="511"/>
      <c r="D2" s="511"/>
      <c r="E2" s="511"/>
      <c r="F2" s="511"/>
      <c r="G2" s="511"/>
      <c r="I2" s="1418" t="s">
        <v>988</v>
      </c>
      <c r="J2" s="511"/>
      <c r="K2" s="511"/>
      <c r="L2" s="102"/>
      <c r="M2" s="639"/>
      <c r="N2" s="639"/>
      <c r="O2" s="1464" t="s">
        <v>1026</v>
      </c>
      <c r="P2" s="639"/>
      <c r="Q2" s="512"/>
      <c r="R2" s="102"/>
      <c r="S2" s="511"/>
      <c r="U2" s="83"/>
      <c r="W2" s="162"/>
      <c r="X2" s="119"/>
      <c r="Y2" s="119"/>
      <c r="AE2" s="119"/>
      <c r="AF2" s="119"/>
      <c r="AG2" s="83"/>
      <c r="AH2" s="83"/>
      <c r="AI2" s="366"/>
      <c r="AJ2" s="83"/>
      <c r="AK2" s="83"/>
    </row>
    <row r="3" spans="1:39" s="204" customFormat="1" x14ac:dyDescent="0.3">
      <c r="A3" s="1443"/>
      <c r="B3" s="1444"/>
      <c r="C3" s="1444"/>
      <c r="D3" s="1444"/>
      <c r="E3" s="1445"/>
      <c r="F3" s="1445"/>
      <c r="G3" s="1444"/>
      <c r="H3" s="1446"/>
      <c r="I3" s="1370" t="s">
        <v>75</v>
      </c>
      <c r="J3" s="1373">
        <f ca="1">Performance!C4</f>
        <v>150</v>
      </c>
      <c r="K3" s="1369" t="s">
        <v>501</v>
      </c>
      <c r="L3" s="1375">
        <f ca="1">N</f>
        <v>30</v>
      </c>
      <c r="M3" s="1365" t="s">
        <v>292</v>
      </c>
      <c r="N3" s="1352">
        <f ca="1">horizon</f>
        <v>25</v>
      </c>
      <c r="O3" s="1443"/>
      <c r="P3" s="1453"/>
      <c r="Q3" s="1445"/>
      <c r="R3" s="1445"/>
      <c r="S3" s="1445"/>
      <c r="T3" s="1445"/>
      <c r="U3" s="1454"/>
      <c r="V3" s="1445"/>
      <c r="W3" s="1455"/>
      <c r="X3" s="1445"/>
      <c r="Y3" s="1445"/>
      <c r="AE3" s="1445"/>
      <c r="AF3" s="1445"/>
      <c r="AG3" s="1454"/>
      <c r="AH3" s="1454"/>
      <c r="AI3" s="1456"/>
      <c r="AJ3" s="1454"/>
      <c r="AK3" s="1457"/>
      <c r="AL3" s="1442"/>
      <c r="AM3" s="1442"/>
    </row>
    <row r="4" spans="1:39" s="204" customFormat="1" x14ac:dyDescent="0.3">
      <c r="A4" s="1447"/>
      <c r="E4" s="665"/>
      <c r="F4" s="665"/>
      <c r="H4" s="1448"/>
      <c r="I4" s="1367" t="s">
        <v>904</v>
      </c>
      <c r="J4" s="1149">
        <f ca="1">Performance!C3</f>
        <v>12</v>
      </c>
      <c r="K4" s="1347" t="s">
        <v>905</v>
      </c>
      <c r="L4" s="1376">
        <f ca="1">Performance!$C$8</f>
        <v>15.539326163190678</v>
      </c>
      <c r="M4" s="1362" t="s">
        <v>1051</v>
      </c>
      <c r="N4" s="1379">
        <f ca="1">LCOE</f>
        <v>97.766902413760249</v>
      </c>
      <c r="O4" s="1447"/>
      <c r="P4" s="827"/>
      <c r="Q4" s="665"/>
      <c r="R4" s="665"/>
      <c r="S4" s="665"/>
      <c r="T4" s="665"/>
      <c r="U4" s="1439"/>
      <c r="V4" s="665"/>
      <c r="W4" s="1440"/>
      <c r="X4" s="665"/>
      <c r="Y4" s="665"/>
      <c r="AE4" s="665"/>
      <c r="AF4" s="665"/>
      <c r="AG4" s="1439"/>
      <c r="AH4" s="1439"/>
      <c r="AI4" s="1441"/>
      <c r="AJ4" s="1439"/>
      <c r="AK4" s="1458"/>
      <c r="AL4" s="1442"/>
      <c r="AM4" s="1442"/>
    </row>
    <row r="5" spans="1:39" s="204" customFormat="1" x14ac:dyDescent="0.3">
      <c r="A5" s="1447"/>
      <c r="E5" s="665"/>
      <c r="F5" s="665"/>
      <c r="H5" s="1448"/>
      <c r="I5" s="1366" t="s">
        <v>65</v>
      </c>
      <c r="J5" s="1374">
        <f ca="1">Tmax_p</f>
        <v>42.000000000000007</v>
      </c>
      <c r="K5" s="1361" t="s">
        <v>910</v>
      </c>
      <c r="L5" s="1377">
        <f ca="1">Scenarios!D22</f>
        <v>12.5</v>
      </c>
      <c r="M5" s="1362" t="s">
        <v>1052</v>
      </c>
      <c r="N5" s="1363">
        <f ca="1">'LCOE analysis'!D19</f>
        <v>0.40220801713922949</v>
      </c>
      <c r="O5" s="1447"/>
      <c r="P5" s="827"/>
      <c r="Q5" s="665"/>
      <c r="R5" s="665"/>
      <c r="S5" s="665"/>
      <c r="T5" s="665"/>
      <c r="U5" s="1439"/>
      <c r="V5" s="665"/>
      <c r="W5" s="1440"/>
      <c r="X5" s="665"/>
      <c r="Y5" s="665"/>
      <c r="AE5" s="665"/>
      <c r="AF5" s="665"/>
      <c r="AG5" s="1439"/>
      <c r="AH5" s="1439"/>
      <c r="AI5" s="1441"/>
      <c r="AJ5" s="1439"/>
      <c r="AK5" s="1458"/>
      <c r="AL5" s="1442"/>
      <c r="AM5" s="1442"/>
    </row>
    <row r="6" spans="1:39" s="204" customFormat="1" ht="15.75" thickBot="1" x14ac:dyDescent="0.35">
      <c r="A6" s="1449"/>
      <c r="B6" s="1450"/>
      <c r="C6" s="1450"/>
      <c r="D6" s="1450"/>
      <c r="E6" s="1451"/>
      <c r="F6" s="1451"/>
      <c r="G6" s="1450"/>
      <c r="H6" s="1452"/>
      <c r="I6" s="1371" t="s">
        <v>1053</v>
      </c>
      <c r="J6" s="1372">
        <f ca="1">avg_speed</f>
        <v>10.563903252812876</v>
      </c>
      <c r="K6" s="1348" t="s">
        <v>984</v>
      </c>
      <c r="L6" s="1378">
        <f ca="1">Scenarios!D24</f>
        <v>0.28000000000000003</v>
      </c>
      <c r="M6" s="1364" t="s">
        <v>621</v>
      </c>
      <c r="N6" s="1380">
        <f ca="1">'LCOE analysis'!D18</f>
        <v>15.865899652091185</v>
      </c>
      <c r="O6" s="1449"/>
      <c r="P6" s="1459"/>
      <c r="Q6" s="1451"/>
      <c r="R6" s="1451"/>
      <c r="S6" s="1451"/>
      <c r="T6" s="1451"/>
      <c r="U6" s="1460"/>
      <c r="V6" s="1451"/>
      <c r="W6" s="1461"/>
      <c r="X6" s="1451"/>
      <c r="Y6" s="1451"/>
      <c r="AE6" s="1451"/>
      <c r="AF6" s="1451"/>
      <c r="AG6" s="1460"/>
      <c r="AH6" s="1460"/>
      <c r="AI6" s="1462"/>
      <c r="AJ6" s="1460"/>
      <c r="AK6" s="1463"/>
      <c r="AL6" s="1442"/>
      <c r="AM6" s="1442"/>
    </row>
    <row r="7" spans="1:39" ht="15.75" thickBot="1" x14ac:dyDescent="0.35"/>
    <row r="8" spans="1:39" ht="36.6" customHeight="1" thickBot="1" x14ac:dyDescent="0.35">
      <c r="L8" s="765" t="s">
        <v>942</v>
      </c>
      <c r="M8" s="786"/>
      <c r="N8" s="786"/>
      <c r="O8" s="786"/>
      <c r="P8" s="786"/>
      <c r="Q8" s="787"/>
      <c r="R8" s="786"/>
      <c r="S8" s="786"/>
      <c r="T8" s="788"/>
      <c r="U8" s="766"/>
      <c r="V8" s="1990" t="s">
        <v>949</v>
      </c>
      <c r="W8" s="1991"/>
      <c r="X8" s="1991"/>
      <c r="Y8" s="1992"/>
      <c r="Z8" s="892" t="s">
        <v>470</v>
      </c>
      <c r="AA8" s="873"/>
      <c r="AB8" s="767"/>
      <c r="AC8" s="102"/>
      <c r="AD8" s="102"/>
      <c r="AI8" s="120"/>
      <c r="AM8" s="102"/>
    </row>
    <row r="9" spans="1:39" ht="30" x14ac:dyDescent="0.3">
      <c r="A9" s="774"/>
      <c r="B9" s="768" t="s">
        <v>927</v>
      </c>
      <c r="C9" s="768" t="s">
        <v>928</v>
      </c>
      <c r="D9" s="775"/>
      <c r="E9" s="775"/>
      <c r="F9" s="775"/>
      <c r="G9" s="775"/>
      <c r="H9" s="775"/>
      <c r="I9" s="777"/>
      <c r="J9" s="777"/>
      <c r="K9" s="775"/>
      <c r="L9" s="831" t="s">
        <v>483</v>
      </c>
      <c r="M9" s="768" t="s">
        <v>919</v>
      </c>
      <c r="N9" s="768" t="s">
        <v>920</v>
      </c>
      <c r="O9" s="768" t="s">
        <v>281</v>
      </c>
      <c r="P9" s="769" t="s">
        <v>307</v>
      </c>
      <c r="Q9" s="460" t="s">
        <v>922</v>
      </c>
      <c r="R9" s="559" t="s">
        <v>923</v>
      </c>
      <c r="S9" s="922" t="s">
        <v>281</v>
      </c>
      <c r="T9" s="768" t="s">
        <v>933</v>
      </c>
      <c r="U9" s="789" t="s">
        <v>934</v>
      </c>
      <c r="V9" s="768" t="s">
        <v>943</v>
      </c>
      <c r="W9" s="1006" t="s">
        <v>944</v>
      </c>
      <c r="X9" s="996" t="s">
        <v>512</v>
      </c>
      <c r="Y9" s="742" t="s">
        <v>498</v>
      </c>
      <c r="Z9" s="874" t="s">
        <v>498</v>
      </c>
      <c r="AA9" s="770" t="s">
        <v>835</v>
      </c>
      <c r="AB9" s="771" t="s">
        <v>653</v>
      </c>
      <c r="AC9" s="102"/>
      <c r="AD9" s="180" t="s">
        <v>218</v>
      </c>
      <c r="AF9" s="120"/>
      <c r="AG9" s="120"/>
      <c r="AH9" s="120"/>
      <c r="AI9" s="120"/>
      <c r="AJ9" s="102"/>
      <c r="AK9" s="102"/>
      <c r="AL9" s="102"/>
      <c r="AM9" s="102"/>
    </row>
    <row r="10" spans="1:39" x14ac:dyDescent="0.3">
      <c r="A10" s="792" t="s">
        <v>184</v>
      </c>
      <c r="B10" s="42" t="s">
        <v>173</v>
      </c>
      <c r="C10" s="42" t="s">
        <v>173</v>
      </c>
      <c r="D10" s="180"/>
      <c r="E10" s="180"/>
      <c r="F10" s="180"/>
      <c r="G10" s="180"/>
      <c r="H10" s="180"/>
      <c r="I10" s="42"/>
      <c r="J10" s="42"/>
      <c r="K10" s="180"/>
      <c r="L10" s="832"/>
      <c r="M10" s="227" t="s">
        <v>499</v>
      </c>
      <c r="N10" s="227" t="s">
        <v>925</v>
      </c>
      <c r="O10" s="227" t="s">
        <v>392</v>
      </c>
      <c r="P10" s="207" t="s">
        <v>404</v>
      </c>
      <c r="Q10" s="791" t="s">
        <v>462</v>
      </c>
      <c r="R10" s="42" t="s">
        <v>926</v>
      </c>
      <c r="S10" s="923" t="s">
        <v>500</v>
      </c>
      <c r="T10" s="42" t="s">
        <v>929</v>
      </c>
      <c r="U10" s="734" t="s">
        <v>930</v>
      </c>
      <c r="V10" s="42" t="s">
        <v>666</v>
      </c>
      <c r="W10" s="209" t="s">
        <v>666</v>
      </c>
      <c r="X10" s="207" t="s">
        <v>395</v>
      </c>
      <c r="Y10" s="693" t="s">
        <v>305</v>
      </c>
      <c r="Z10" s="875" t="s">
        <v>528</v>
      </c>
      <c r="AA10" s="740" t="s">
        <v>415</v>
      </c>
      <c r="AB10" s="756" t="s">
        <v>415</v>
      </c>
      <c r="AC10" s="102"/>
      <c r="AD10" s="180"/>
      <c r="AF10" s="120"/>
      <c r="AG10" s="120"/>
      <c r="AH10" s="120"/>
      <c r="AI10" s="120"/>
      <c r="AJ10" s="102"/>
      <c r="AK10" s="102"/>
      <c r="AL10" s="102"/>
      <c r="AM10" s="102"/>
    </row>
    <row r="11" spans="1:39" x14ac:dyDescent="0.3">
      <c r="A11" s="694"/>
      <c r="L11" s="833"/>
      <c r="P11" s="212"/>
      <c r="Q11" s="212"/>
      <c r="R11" s="794"/>
      <c r="S11" s="924"/>
      <c r="T11" s="795"/>
      <c r="U11" s="764"/>
      <c r="W11" s="214"/>
      <c r="X11" s="212"/>
      <c r="Y11" s="796"/>
      <c r="Z11" s="876"/>
      <c r="AA11" s="378"/>
      <c r="AB11" s="757"/>
      <c r="AC11" s="102"/>
      <c r="AD11" s="102"/>
      <c r="AF11" s="120"/>
      <c r="AG11" s="120"/>
      <c r="AH11" s="120"/>
      <c r="AI11" s="120"/>
      <c r="AJ11" s="102"/>
      <c r="AK11" s="102"/>
      <c r="AL11" s="102"/>
      <c r="AM11" s="102"/>
    </row>
    <row r="12" spans="1:39" x14ac:dyDescent="0.3">
      <c r="A12" s="778" t="s">
        <v>654</v>
      </c>
      <c r="B12" s="723"/>
      <c r="C12" s="700"/>
      <c r="D12" s="197"/>
      <c r="E12" s="197"/>
      <c r="F12" s="197"/>
      <c r="G12" s="197"/>
      <c r="H12" s="197"/>
      <c r="I12" s="197"/>
      <c r="J12" s="197"/>
      <c r="K12" s="197"/>
      <c r="L12" s="834"/>
      <c r="M12" s="700"/>
      <c r="N12" s="700"/>
      <c r="O12" s="700"/>
      <c r="P12" s="790"/>
      <c r="Q12" s="790"/>
      <c r="R12" s="797"/>
      <c r="S12" s="925"/>
      <c r="T12" s="799"/>
      <c r="U12" s="800"/>
      <c r="V12" s="700"/>
      <c r="W12" s="798"/>
      <c r="X12" s="790"/>
      <c r="Y12" s="801"/>
      <c r="Z12" s="877"/>
      <c r="AA12" s="377"/>
      <c r="AB12" s="758"/>
      <c r="AC12" s="102"/>
      <c r="AD12" s="197"/>
      <c r="AF12" s="120"/>
      <c r="AG12" s="120"/>
      <c r="AH12" s="120"/>
      <c r="AI12" s="120"/>
      <c r="AJ12" s="102"/>
      <c r="AK12" s="102"/>
      <c r="AL12" s="102"/>
      <c r="AM12" s="102"/>
    </row>
    <row r="13" spans="1:39" x14ac:dyDescent="0.3">
      <c r="A13" s="694"/>
      <c r="L13" s="833"/>
      <c r="P13" s="212"/>
      <c r="Q13" s="212"/>
      <c r="R13" s="794"/>
      <c r="S13" s="924"/>
      <c r="T13" s="795"/>
      <c r="U13" s="764"/>
      <c r="W13" s="214"/>
      <c r="X13" s="212"/>
      <c r="Y13" s="796"/>
      <c r="Z13" s="876">
        <f ca="1">1000*Y13/(P/1000)</f>
        <v>0</v>
      </c>
      <c r="AA13" s="378"/>
      <c r="AB13" s="757"/>
      <c r="AC13" s="102"/>
      <c r="AD13" s="102"/>
      <c r="AF13" s="120"/>
      <c r="AG13" s="120"/>
      <c r="AH13" s="120"/>
      <c r="AI13" s="120"/>
      <c r="AJ13" s="102"/>
      <c r="AK13" s="102"/>
      <c r="AL13" s="102"/>
      <c r="AM13" s="102"/>
    </row>
    <row r="14" spans="1:39" hidden="1" outlineLevel="2" x14ac:dyDescent="0.3">
      <c r="A14" s="779" t="s">
        <v>224</v>
      </c>
      <c r="L14" s="833"/>
      <c r="P14" s="650"/>
      <c r="Q14" s="1530">
        <f>Inputs!C45</f>
        <v>0.06</v>
      </c>
      <c r="R14" s="710"/>
      <c r="S14" s="924" t="s">
        <v>485</v>
      </c>
      <c r="U14" s="802"/>
      <c r="V14" s="710"/>
      <c r="W14" s="1007"/>
      <c r="X14" s="650"/>
      <c r="Y14" s="802"/>
      <c r="Z14" s="878">
        <f ca="1">1000*Y14/(P/1000)</f>
        <v>0</v>
      </c>
      <c r="AA14" s="372"/>
      <c r="AB14" s="743"/>
      <c r="AC14" s="102"/>
      <c r="AD14" s="102" t="s">
        <v>250</v>
      </c>
      <c r="AF14" s="120"/>
      <c r="AG14" s="120"/>
      <c r="AH14" s="120"/>
      <c r="AI14" s="120"/>
      <c r="AJ14" s="102"/>
      <c r="AK14" s="102"/>
      <c r="AL14" s="102"/>
      <c r="AM14" s="102"/>
    </row>
    <row r="15" spans="1:39" hidden="1" outlineLevel="2" x14ac:dyDescent="0.3">
      <c r="A15" s="780" t="s">
        <v>225</v>
      </c>
      <c r="B15" s="178"/>
      <c r="C15" s="178"/>
      <c r="D15" s="176"/>
      <c r="E15" s="176"/>
      <c r="F15" s="176"/>
      <c r="G15" s="176"/>
      <c r="H15" s="176"/>
      <c r="I15" s="176"/>
      <c r="J15" s="176"/>
      <c r="K15" s="176"/>
      <c r="L15" s="835"/>
      <c r="N15" s="178"/>
      <c r="O15" s="178"/>
      <c r="P15" s="650"/>
      <c r="Q15" s="1531">
        <f>Inputs!C46</f>
        <v>0.25</v>
      </c>
      <c r="R15" s="711"/>
      <c r="S15" s="823" t="s">
        <v>485</v>
      </c>
      <c r="T15" s="178"/>
      <c r="U15" s="803"/>
      <c r="V15" s="711"/>
      <c r="W15" s="1008"/>
      <c r="X15" s="653"/>
      <c r="Y15" s="803"/>
      <c r="Z15" s="879">
        <f ca="1">1000*Y15/(P/1000)</f>
        <v>0</v>
      </c>
      <c r="AA15" s="373"/>
      <c r="AB15" s="759"/>
      <c r="AC15" s="102"/>
      <c r="AD15" s="102" t="s">
        <v>251</v>
      </c>
      <c r="AF15" s="120"/>
      <c r="AG15" s="120"/>
      <c r="AH15" s="120"/>
      <c r="AI15" s="120"/>
      <c r="AJ15" s="102"/>
      <c r="AK15" s="102"/>
      <c r="AL15" s="102"/>
      <c r="AM15" s="102"/>
    </row>
    <row r="16" spans="1:39" outlineLevel="1" collapsed="1" x14ac:dyDescent="0.3">
      <c r="A16" s="782" t="s">
        <v>884</v>
      </c>
      <c r="L16" s="833" t="s">
        <v>287</v>
      </c>
      <c r="M16" s="707">
        <f>Wo</f>
        <v>90</v>
      </c>
      <c r="N16" s="450">
        <f ca="1">wing_area</f>
        <v>12</v>
      </c>
      <c r="O16" s="119" t="s">
        <v>51</v>
      </c>
      <c r="P16" s="744">
        <f>scaling_factor_selected</f>
        <v>0.79999999999999982</v>
      </c>
      <c r="Q16" s="804">
        <f>SUM(Q14:Q15)*1.5</f>
        <v>0.46499999999999997</v>
      </c>
      <c r="R16" s="805">
        <f ca="1">Q16*P16^LOG(N16/M16)</f>
        <v>0.56526897709504131</v>
      </c>
      <c r="S16" s="924" t="s">
        <v>485</v>
      </c>
      <c r="T16" s="715">
        <f>IF(M16=0,Q16,M16*Q16)</f>
        <v>41.849999999999994</v>
      </c>
      <c r="U16" s="806">
        <f ca="1">IF(N16=0,R16,N16*R16)</f>
        <v>6.7832277251404953</v>
      </c>
      <c r="V16" s="707">
        <f>Qo</f>
        <v>35</v>
      </c>
      <c r="W16" s="844">
        <f ca="1">Q</f>
        <v>15000</v>
      </c>
      <c r="X16" s="744">
        <f>experience_factor_selected</f>
        <v>0.79999999999999982</v>
      </c>
      <c r="Y16" s="806">
        <f ca="1">$U16*X16^LOG(W16/V16)</f>
        <v>3.7702226084583828</v>
      </c>
      <c r="Z16" s="880">
        <f ca="1">Y16/(P/1000)/1000</f>
        <v>2.5134817389722553E-2</v>
      </c>
      <c r="AA16" s="370">
        <f ca="1">Y16/AWES_capex</f>
        <v>1.4896819410756251E-2</v>
      </c>
      <c r="AB16" s="760">
        <f ca="1">AA16*$Y$130/$Y$135</f>
        <v>1.036823522634291E-2</v>
      </c>
      <c r="AC16" s="102"/>
      <c r="AD16" s="102" t="s">
        <v>252</v>
      </c>
      <c r="AF16" s="120"/>
      <c r="AG16" s="120"/>
      <c r="AH16" s="120"/>
      <c r="AI16" s="120"/>
      <c r="AJ16" s="102"/>
      <c r="AK16" s="102"/>
      <c r="AL16" s="102"/>
      <c r="AM16" s="102"/>
    </row>
    <row r="17" spans="1:39" hidden="1" outlineLevel="2" x14ac:dyDescent="0.3">
      <c r="A17" s="782"/>
      <c r="L17" s="833"/>
      <c r="P17" s="212"/>
      <c r="Q17" s="212"/>
      <c r="R17"/>
      <c r="S17" s="924"/>
      <c r="T17" s="795"/>
      <c r="U17" s="764"/>
      <c r="W17" s="214"/>
      <c r="X17" s="212"/>
      <c r="Y17" s="796"/>
      <c r="Z17" s="876">
        <f ca="1">1000*Y17/(P/1000)</f>
        <v>0</v>
      </c>
      <c r="AA17" s="378"/>
      <c r="AB17" s="757"/>
      <c r="AC17" s="102"/>
      <c r="AD17" s="102"/>
      <c r="AF17" s="120"/>
      <c r="AG17" s="120"/>
      <c r="AH17" s="120"/>
      <c r="AI17" s="120"/>
      <c r="AJ17" s="102"/>
      <c r="AK17" s="102"/>
      <c r="AL17" s="102"/>
      <c r="AM17" s="102"/>
    </row>
    <row r="18" spans="1:39" hidden="1" outlineLevel="2" x14ac:dyDescent="0.3">
      <c r="A18" s="779" t="s">
        <v>221</v>
      </c>
      <c r="L18" s="833"/>
      <c r="P18" s="650"/>
      <c r="Q18" s="1530">
        <f>Inputs!C48</f>
        <v>0.15</v>
      </c>
      <c r="R18" s="710"/>
      <c r="S18" s="924" t="s">
        <v>486</v>
      </c>
      <c r="U18" s="802"/>
      <c r="V18" s="710"/>
      <c r="W18" s="1007"/>
      <c r="X18" s="650"/>
      <c r="Y18" s="802"/>
      <c r="Z18" s="878">
        <f ca="1">1000*Y18/(P/1000)</f>
        <v>0</v>
      </c>
      <c r="AA18" s="372"/>
      <c r="AB18" s="743"/>
      <c r="AC18" s="102"/>
      <c r="AD18" s="102" t="s">
        <v>255</v>
      </c>
      <c r="AF18" s="120"/>
      <c r="AG18" s="120"/>
      <c r="AH18" s="120"/>
      <c r="AI18" s="120"/>
      <c r="AJ18" s="102"/>
      <c r="AK18" s="102"/>
      <c r="AL18" s="102"/>
      <c r="AM18" s="102"/>
    </row>
    <row r="19" spans="1:39" hidden="1" outlineLevel="2" x14ac:dyDescent="0.3">
      <c r="A19" s="779" t="s">
        <v>256</v>
      </c>
      <c r="L19" s="833"/>
      <c r="P19" s="650"/>
      <c r="Q19" s="1530">
        <f>Inputs!C49</f>
        <v>0.28000000000000003</v>
      </c>
      <c r="R19" s="710"/>
      <c r="S19" s="924" t="s">
        <v>486</v>
      </c>
      <c r="U19" s="802"/>
      <c r="V19" s="710"/>
      <c r="W19" s="1007"/>
      <c r="X19" s="650"/>
      <c r="Y19" s="802"/>
      <c r="Z19" s="878">
        <f ca="1">1000*Y19/(P/1000)</f>
        <v>0</v>
      </c>
      <c r="AA19" s="372"/>
      <c r="AB19" s="743"/>
      <c r="AC19" s="102"/>
      <c r="AD19" s="102" t="s">
        <v>232</v>
      </c>
      <c r="AF19" s="120"/>
      <c r="AG19" s="120"/>
      <c r="AH19" s="120"/>
      <c r="AI19" s="120"/>
      <c r="AJ19" s="102"/>
      <c r="AK19" s="102"/>
      <c r="AL19" s="102"/>
      <c r="AM19" s="102"/>
    </row>
    <row r="20" spans="1:39" hidden="1" outlineLevel="2" x14ac:dyDescent="0.3">
      <c r="A20" s="779" t="s">
        <v>257</v>
      </c>
      <c r="L20" s="833"/>
      <c r="P20" s="650"/>
      <c r="Q20" s="1530">
        <f>Inputs!C50</f>
        <v>7.0000000000000007E-2</v>
      </c>
      <c r="R20" s="710"/>
      <c r="S20" s="924" t="s">
        <v>486</v>
      </c>
      <c r="U20" s="802"/>
      <c r="V20" s="710"/>
      <c r="W20" s="1007"/>
      <c r="X20" s="650"/>
      <c r="Y20" s="802"/>
      <c r="Z20" s="878"/>
      <c r="AA20" s="372"/>
      <c r="AB20" s="743"/>
      <c r="AC20" s="102"/>
      <c r="AD20" s="102"/>
      <c r="AF20" s="120"/>
      <c r="AG20" s="120"/>
      <c r="AH20" s="120"/>
      <c r="AI20" s="120"/>
      <c r="AJ20" s="102"/>
      <c r="AK20" s="102"/>
      <c r="AL20" s="102"/>
      <c r="AM20" s="102"/>
    </row>
    <row r="21" spans="1:39" hidden="1" outlineLevel="2" x14ac:dyDescent="0.3">
      <c r="A21" s="779" t="s">
        <v>223</v>
      </c>
      <c r="L21" s="833"/>
      <c r="P21" s="650"/>
      <c r="Q21" s="1530">
        <f>Inputs!C52</f>
        <v>1</v>
      </c>
      <c r="R21" s="710"/>
      <c r="S21" s="924"/>
      <c r="U21" s="802"/>
      <c r="V21" s="710"/>
      <c r="W21" s="1007"/>
      <c r="X21" s="650"/>
      <c r="Y21" s="802"/>
      <c r="Z21" s="878"/>
      <c r="AA21" s="372"/>
      <c r="AB21" s="743"/>
      <c r="AC21" s="102"/>
      <c r="AD21" s="102"/>
      <c r="AF21" s="120"/>
      <c r="AG21" s="120"/>
      <c r="AH21" s="120"/>
      <c r="AI21" s="120"/>
      <c r="AJ21" s="102"/>
      <c r="AK21" s="102"/>
      <c r="AL21" s="102"/>
      <c r="AM21" s="102"/>
    </row>
    <row r="22" spans="1:39" hidden="1" outlineLevel="2" x14ac:dyDescent="0.3">
      <c r="A22" s="779" t="s">
        <v>259</v>
      </c>
      <c r="L22" s="833"/>
      <c r="P22" s="650"/>
      <c r="Q22" s="807">
        <f>Q19+Q18*Q21</f>
        <v>0.43000000000000005</v>
      </c>
      <c r="R22" s="710"/>
      <c r="S22" s="924" t="s">
        <v>486</v>
      </c>
      <c r="U22" s="802"/>
      <c r="V22" s="710"/>
      <c r="W22" s="1007"/>
      <c r="X22" s="650"/>
      <c r="Y22" s="802"/>
      <c r="Z22" s="878"/>
      <c r="AA22" s="372"/>
      <c r="AB22" s="743"/>
      <c r="AC22" s="102"/>
      <c r="AD22" s="102"/>
      <c r="AF22" s="120"/>
      <c r="AG22" s="120"/>
      <c r="AH22" s="120"/>
      <c r="AI22" s="120"/>
      <c r="AJ22" s="102"/>
      <c r="AK22" s="102"/>
      <c r="AL22" s="102"/>
      <c r="AM22" s="102"/>
    </row>
    <row r="23" spans="1:39" hidden="1" outlineLevel="2" x14ac:dyDescent="0.3">
      <c r="A23" s="779" t="s">
        <v>260</v>
      </c>
      <c r="L23" s="833"/>
      <c r="P23" s="650"/>
      <c r="Q23" s="807">
        <f>Q18+Q20*Q21</f>
        <v>0.22</v>
      </c>
      <c r="R23" s="710"/>
      <c r="S23" s="924" t="s">
        <v>486</v>
      </c>
      <c r="U23" s="802"/>
      <c r="V23" s="710"/>
      <c r="W23" s="1007"/>
      <c r="X23" s="650"/>
      <c r="Y23" s="802"/>
      <c r="Z23" s="878"/>
      <c r="AA23" s="372"/>
      <c r="AB23" s="743"/>
      <c r="AC23" s="102"/>
      <c r="AD23" s="102"/>
      <c r="AF23" s="120"/>
      <c r="AG23" s="120"/>
      <c r="AH23" s="120"/>
      <c r="AI23" s="120"/>
      <c r="AJ23" s="102"/>
      <c r="AK23" s="102"/>
      <c r="AL23" s="102"/>
      <c r="AM23" s="102"/>
    </row>
    <row r="24" spans="1:39" hidden="1" outlineLevel="2" x14ac:dyDescent="0.3">
      <c r="A24" s="780" t="s">
        <v>258</v>
      </c>
      <c r="B24" s="178"/>
      <c r="C24" s="178"/>
      <c r="D24" s="176"/>
      <c r="E24" s="176"/>
      <c r="F24" s="176"/>
      <c r="G24" s="176"/>
      <c r="H24" s="176"/>
      <c r="I24" s="176"/>
      <c r="J24" s="176"/>
      <c r="K24" s="176"/>
      <c r="L24" s="835"/>
      <c r="N24" s="722">
        <f ca="1">Scenarios!$D$58</f>
        <v>0.85</v>
      </c>
      <c r="O24" s="178" t="s">
        <v>415</v>
      </c>
      <c r="P24" s="653"/>
      <c r="Q24" s="718"/>
      <c r="R24" s="711"/>
      <c r="S24" s="823"/>
      <c r="T24" s="178"/>
      <c r="U24" s="803"/>
      <c r="V24" s="711"/>
      <c r="W24" s="1008"/>
      <c r="X24" s="653"/>
      <c r="Y24" s="803"/>
      <c r="Z24" s="879"/>
      <c r="AA24" s="373"/>
      <c r="AB24" s="759"/>
      <c r="AC24" s="102"/>
      <c r="AD24" s="102" t="s">
        <v>249</v>
      </c>
      <c r="AF24" s="120"/>
      <c r="AG24" s="120"/>
      <c r="AH24" s="120"/>
      <c r="AI24" s="120"/>
      <c r="AJ24" s="102"/>
      <c r="AK24" s="102"/>
      <c r="AL24" s="102"/>
      <c r="AM24" s="102"/>
    </row>
    <row r="25" spans="1:39" outlineLevel="1" collapsed="1" x14ac:dyDescent="0.3">
      <c r="A25" s="782" t="s">
        <v>253</v>
      </c>
      <c r="L25" s="833" t="s">
        <v>484</v>
      </c>
      <c r="M25" s="1535">
        <f>Inputs!C55</f>
        <v>1837.2350989214201</v>
      </c>
      <c r="N25" s="1539">
        <f ca="1">Mp-C48-C49-C50-C47-C51</f>
        <v>291.28964583540647</v>
      </c>
      <c r="O25" s="119" t="s">
        <v>173</v>
      </c>
      <c r="P25" s="744">
        <f>scaling_factor_selected</f>
        <v>0.79999999999999982</v>
      </c>
      <c r="Q25" s="1119">
        <f ca="1">Q22*(1-N24)+Q23*N24</f>
        <v>0.2515</v>
      </c>
      <c r="R25" s="805">
        <f ca="1">Q25*P25^LOG(N25/M25)</f>
        <v>0.30064256204430495</v>
      </c>
      <c r="S25" s="924" t="s">
        <v>486</v>
      </c>
      <c r="T25" s="715">
        <f ca="1">IF(M25=0,Q25,M25*Q25)</f>
        <v>462.06462737873716</v>
      </c>
      <c r="U25" s="806">
        <f ca="1">IF(N25=0,R25,N25*R25)</f>
        <v>87.574065420934801</v>
      </c>
      <c r="V25" s="707">
        <f>Qo</f>
        <v>35</v>
      </c>
      <c r="W25" s="844">
        <f ca="1">Q</f>
        <v>15000</v>
      </c>
      <c r="X25" s="1536">
        <f>Inputs!C57</f>
        <v>0.5</v>
      </c>
      <c r="Y25" s="806">
        <f ca="1">$U25*X25^LOG(W25/V25)</f>
        <v>14.127248169766498</v>
      </c>
      <c r="Z25" s="878">
        <f ca="1">Y25/(P/1000)/1000</f>
        <v>9.4181654465109982E-2</v>
      </c>
      <c r="AA25" s="372">
        <f ca="1">Y25/AWES_capex</f>
        <v>5.581926761666739E-2</v>
      </c>
      <c r="AB25" s="743">
        <f ca="1">AA25*$Y$130/$Y$135</f>
        <v>3.8850393554070224E-2</v>
      </c>
      <c r="AC25" s="102"/>
      <c r="AD25" s="102"/>
      <c r="AF25" s="120"/>
      <c r="AG25" s="120"/>
      <c r="AH25" s="120"/>
      <c r="AI25" s="120"/>
      <c r="AJ25" s="102"/>
      <c r="AK25" s="102"/>
      <c r="AL25" s="102"/>
      <c r="AM25" s="102"/>
    </row>
    <row r="26" spans="1:39" hidden="1" outlineLevel="2" x14ac:dyDescent="0.3">
      <c r="A26" s="782"/>
      <c r="L26" s="833"/>
      <c r="P26" s="212"/>
      <c r="Q26" s="212"/>
      <c r="R26" s="794"/>
      <c r="S26" s="924"/>
      <c r="T26" s="795"/>
      <c r="U26" s="764"/>
      <c r="W26" s="214"/>
      <c r="X26" s="212"/>
      <c r="Y26" s="796"/>
      <c r="Z26" s="876"/>
      <c r="AA26" s="378"/>
      <c r="AB26" s="757"/>
      <c r="AC26" s="102"/>
      <c r="AD26" s="102"/>
      <c r="AF26" s="120"/>
      <c r="AG26" s="120"/>
      <c r="AH26" s="120"/>
      <c r="AI26" s="120"/>
      <c r="AJ26" s="102"/>
      <c r="AK26" s="102"/>
      <c r="AL26" s="102"/>
      <c r="AM26" s="102"/>
    </row>
    <row r="27" spans="1:39" outlineLevel="1" collapsed="1" x14ac:dyDescent="0.3">
      <c r="A27" s="783" t="s">
        <v>222</v>
      </c>
      <c r="B27" s="178"/>
      <c r="C27" s="178"/>
      <c r="D27" s="176"/>
      <c r="E27" s="176"/>
      <c r="F27" s="176"/>
      <c r="G27" s="176"/>
      <c r="H27" s="176"/>
      <c r="I27" s="176"/>
      <c r="J27" s="176"/>
      <c r="K27" s="176"/>
      <c r="L27" s="835"/>
      <c r="M27" s="178"/>
      <c r="N27" s="178"/>
      <c r="O27" s="178"/>
      <c r="P27" s="718"/>
      <c r="Q27" s="1537">
        <f>Inputs!C59</f>
        <v>20</v>
      </c>
      <c r="R27" s="851">
        <f>$Q$27</f>
        <v>20</v>
      </c>
      <c r="S27" s="823" t="s">
        <v>305</v>
      </c>
      <c r="T27" s="725">
        <f>IF(M27=0,Q27,M27*Q27)</f>
        <v>20</v>
      </c>
      <c r="U27" s="849">
        <f>IF(N27=0,R27,N27*R27)</f>
        <v>20</v>
      </c>
      <c r="V27" s="706">
        <f>Qo</f>
        <v>35</v>
      </c>
      <c r="W27" s="1009">
        <f ca="1">Q</f>
        <v>15000</v>
      </c>
      <c r="X27" s="652">
        <f>experience_factor_selected</f>
        <v>0.79999999999999982</v>
      </c>
      <c r="Y27" s="849">
        <f ca="1">$U27*X27^LOG(W27/V27)</f>
        <v>11.116308522224331</v>
      </c>
      <c r="Z27" s="879">
        <f ca="1">Y27/(P/1000)/1000</f>
        <v>7.4108723481495539E-2</v>
      </c>
      <c r="AA27" s="373">
        <f ca="1">Y27/AWES_capex</f>
        <v>4.3922510092192737E-2</v>
      </c>
      <c r="AB27" s="759">
        <f ca="1">AA27*$Y$130/$Y$135</f>
        <v>3.0570211251836336E-2</v>
      </c>
      <c r="AC27" s="102"/>
      <c r="AD27" s="102"/>
      <c r="AF27" s="120"/>
      <c r="AG27" s="120"/>
      <c r="AH27" s="120"/>
      <c r="AI27" s="120"/>
      <c r="AJ27" s="102"/>
      <c r="AK27" s="102"/>
      <c r="AL27" s="102"/>
      <c r="AM27" s="102"/>
    </row>
    <row r="28" spans="1:39" outlineLevel="1" x14ac:dyDescent="0.3">
      <c r="A28" s="202" t="s">
        <v>188</v>
      </c>
      <c r="B28" s="198"/>
      <c r="C28" s="198"/>
      <c r="D28" s="198"/>
      <c r="E28" s="198"/>
      <c r="F28" s="198"/>
      <c r="G28" s="198"/>
      <c r="H28" s="198"/>
      <c r="I28" s="198"/>
      <c r="J28" s="198"/>
      <c r="K28" s="198"/>
      <c r="L28" s="836"/>
      <c r="M28" s="709"/>
      <c r="N28" s="709"/>
      <c r="O28" s="709"/>
      <c r="P28" s="371"/>
      <c r="Q28" s="217"/>
      <c r="R28" s="213"/>
      <c r="S28" s="926"/>
      <c r="T28" s="213">
        <f ca="1">SUM(T14:T27)</f>
        <v>523.91462737873712</v>
      </c>
      <c r="U28" s="808">
        <f ca="1">SUM(U14:U27)</f>
        <v>114.35729314607529</v>
      </c>
      <c r="V28" s="213">
        <f>Qo</f>
        <v>35</v>
      </c>
      <c r="W28" s="218">
        <f ca="1">Q</f>
        <v>15000</v>
      </c>
      <c r="X28" s="649">
        <f ca="1">IFERROR(10^(LOG(Y28/U28)/LOG(W28/V28)),)</f>
        <v>0.59386478353546357</v>
      </c>
      <c r="Y28" s="808">
        <f ca="1">SUM(Y14:Y27)</f>
        <v>29.013779300449208</v>
      </c>
      <c r="Z28" s="881">
        <f ca="1">Y28/(P/1000)/1000</f>
        <v>0.19342519533632807</v>
      </c>
      <c r="AA28" s="371">
        <f ca="1">Y28/AWES_capex</f>
        <v>0.11463859711961637</v>
      </c>
      <c r="AB28" s="761">
        <f ca="1">AA28*$Y$130/$Y$135</f>
        <v>7.9788840032249453E-2</v>
      </c>
      <c r="AC28" s="102"/>
      <c r="AD28" s="200"/>
      <c r="AF28" s="120"/>
      <c r="AG28" s="120"/>
      <c r="AH28" s="120"/>
      <c r="AI28" s="120"/>
      <c r="AJ28" s="102"/>
      <c r="AK28" s="102"/>
      <c r="AL28" s="102"/>
      <c r="AM28" s="102"/>
    </row>
    <row r="29" spans="1:39" outlineLevel="2" x14ac:dyDescent="0.3">
      <c r="A29" s="782"/>
      <c r="L29" s="833"/>
      <c r="M29" s="710"/>
      <c r="N29" s="710"/>
      <c r="P29" s="212"/>
      <c r="Q29" s="212"/>
      <c r="R29" s="809"/>
      <c r="S29" s="924"/>
      <c r="T29" s="795"/>
      <c r="U29" s="764"/>
      <c r="W29" s="214"/>
      <c r="X29" s="212"/>
      <c r="Y29" s="796"/>
      <c r="Z29" s="876"/>
      <c r="AA29" s="378"/>
      <c r="AB29" s="757"/>
      <c r="AC29" s="102"/>
      <c r="AD29" s="102"/>
      <c r="AF29" s="120"/>
      <c r="AG29" s="120"/>
      <c r="AH29" s="120"/>
      <c r="AI29" s="120"/>
      <c r="AJ29" s="102"/>
      <c r="AK29" s="102"/>
      <c r="AL29" s="102"/>
      <c r="AM29" s="102"/>
    </row>
    <row r="30" spans="1:39" outlineLevel="2" x14ac:dyDescent="0.3">
      <c r="A30" s="779" t="s">
        <v>488</v>
      </c>
      <c r="L30" s="833"/>
      <c r="P30" s="212"/>
      <c r="Q30" s="212"/>
      <c r="R30" s="809"/>
      <c r="S30" s="924"/>
      <c r="T30" s="1532">
        <f>Inputs!C61</f>
        <v>2</v>
      </c>
      <c r="U30" s="810">
        <f t="shared" ref="U30:U35" si="0">T30</f>
        <v>2</v>
      </c>
      <c r="V30" s="841"/>
      <c r="W30" s="1010"/>
      <c r="X30" s="650"/>
      <c r="Y30" s="802"/>
      <c r="Z30" s="878"/>
      <c r="AA30" s="372"/>
      <c r="AB30" s="743"/>
      <c r="AC30" s="102"/>
      <c r="AD30" s="102" t="s">
        <v>239</v>
      </c>
      <c r="AF30" s="120"/>
      <c r="AG30" s="120"/>
      <c r="AH30" s="120"/>
      <c r="AI30" s="120"/>
      <c r="AJ30" s="102"/>
      <c r="AK30" s="102"/>
      <c r="AL30" s="102"/>
      <c r="AM30" s="102"/>
    </row>
    <row r="31" spans="1:39" outlineLevel="2" x14ac:dyDescent="0.3">
      <c r="A31" s="779" t="s">
        <v>489</v>
      </c>
      <c r="L31" s="833"/>
      <c r="P31" s="212"/>
      <c r="Q31" s="212"/>
      <c r="R31" s="809"/>
      <c r="S31" s="924"/>
      <c r="T31" s="1532">
        <f>Inputs!C62</f>
        <v>2</v>
      </c>
      <c r="U31" s="810">
        <f t="shared" si="0"/>
        <v>2</v>
      </c>
      <c r="V31" s="841"/>
      <c r="W31" s="1010"/>
      <c r="X31" s="650"/>
      <c r="Y31" s="802"/>
      <c r="Z31" s="878"/>
      <c r="AA31" s="372"/>
      <c r="AB31" s="743"/>
      <c r="AC31" s="102"/>
      <c r="AD31" s="102" t="s">
        <v>239</v>
      </c>
      <c r="AF31" s="120"/>
      <c r="AG31" s="120"/>
      <c r="AH31" s="120"/>
      <c r="AI31" s="120"/>
      <c r="AJ31" s="102"/>
      <c r="AK31" s="102"/>
      <c r="AL31" s="102"/>
      <c r="AM31" s="102"/>
    </row>
    <row r="32" spans="1:39" outlineLevel="2" x14ac:dyDescent="0.3">
      <c r="A32" s="779" t="s">
        <v>490</v>
      </c>
      <c r="L32" s="833"/>
      <c r="P32" s="212"/>
      <c r="Q32" s="212"/>
      <c r="R32" s="809"/>
      <c r="S32" s="924"/>
      <c r="T32" s="1532">
        <f>Inputs!C63</f>
        <v>2</v>
      </c>
      <c r="U32" s="810">
        <f t="shared" si="0"/>
        <v>2</v>
      </c>
      <c r="V32" s="841"/>
      <c r="W32" s="1010"/>
      <c r="X32" s="650"/>
      <c r="Y32" s="802"/>
      <c r="Z32" s="878"/>
      <c r="AA32" s="372"/>
      <c r="AB32" s="743"/>
      <c r="AC32" s="102"/>
      <c r="AD32" s="102" t="s">
        <v>239</v>
      </c>
      <c r="AF32" s="120"/>
      <c r="AG32" s="120"/>
      <c r="AH32" s="120"/>
      <c r="AI32" s="120"/>
      <c r="AJ32" s="102"/>
      <c r="AK32" s="102"/>
      <c r="AL32" s="102"/>
      <c r="AM32" s="102"/>
    </row>
    <row r="33" spans="1:39" outlineLevel="2" x14ac:dyDescent="0.3">
      <c r="A33" s="779" t="s">
        <v>491</v>
      </c>
      <c r="L33" s="833"/>
      <c r="P33" s="212"/>
      <c r="Q33" s="212"/>
      <c r="R33" s="809"/>
      <c r="S33" s="924"/>
      <c r="T33" s="1532">
        <f>Inputs!C64</f>
        <v>2</v>
      </c>
      <c r="U33" s="810">
        <f t="shared" si="0"/>
        <v>2</v>
      </c>
      <c r="V33" s="841"/>
      <c r="W33" s="1010"/>
      <c r="X33" s="650"/>
      <c r="Y33" s="802"/>
      <c r="Z33" s="878"/>
      <c r="AA33" s="372"/>
      <c r="AB33" s="743"/>
      <c r="AC33" s="102"/>
      <c r="AD33" s="102" t="s">
        <v>239</v>
      </c>
      <c r="AF33" s="120"/>
      <c r="AG33" s="120"/>
      <c r="AH33" s="120"/>
      <c r="AI33" s="120"/>
      <c r="AJ33" s="102"/>
      <c r="AK33" s="102"/>
      <c r="AL33" s="102"/>
      <c r="AM33" s="102"/>
    </row>
    <row r="34" spans="1:39" outlineLevel="2" x14ac:dyDescent="0.3">
      <c r="A34" s="779" t="s">
        <v>492</v>
      </c>
      <c r="L34" s="833"/>
      <c r="P34" s="212"/>
      <c r="Q34" s="212"/>
      <c r="R34" s="809"/>
      <c r="S34" s="924"/>
      <c r="T34" s="1532">
        <f>Inputs!C65</f>
        <v>2</v>
      </c>
      <c r="U34" s="810">
        <f t="shared" si="0"/>
        <v>2</v>
      </c>
      <c r="V34" s="841"/>
      <c r="W34" s="1010"/>
      <c r="X34" s="650"/>
      <c r="Y34" s="802"/>
      <c r="Z34" s="878"/>
      <c r="AA34" s="372"/>
      <c r="AB34" s="743"/>
      <c r="AC34" s="102"/>
      <c r="AD34" s="102" t="s">
        <v>239</v>
      </c>
      <c r="AF34" s="120"/>
      <c r="AG34" s="120"/>
      <c r="AH34" s="120"/>
      <c r="AI34" s="120"/>
      <c r="AJ34" s="102"/>
      <c r="AK34" s="102"/>
      <c r="AL34" s="102"/>
      <c r="AM34" s="102"/>
    </row>
    <row r="35" spans="1:39" outlineLevel="2" x14ac:dyDescent="0.3">
      <c r="A35" s="780" t="s">
        <v>493</v>
      </c>
      <c r="B35" s="178"/>
      <c r="C35" s="178"/>
      <c r="D35" s="176"/>
      <c r="E35" s="176"/>
      <c r="F35" s="176"/>
      <c r="G35" s="176"/>
      <c r="H35" s="176"/>
      <c r="I35" s="176"/>
      <c r="J35" s="176"/>
      <c r="K35" s="176"/>
      <c r="L35" s="835"/>
      <c r="M35" s="178"/>
      <c r="N35" s="178"/>
      <c r="O35" s="178"/>
      <c r="P35" s="718"/>
      <c r="Q35" s="718"/>
      <c r="R35" s="811"/>
      <c r="S35" s="823"/>
      <c r="T35" s="1540">
        <f>Inputs!C66</f>
        <v>2</v>
      </c>
      <c r="U35" s="812">
        <f t="shared" si="0"/>
        <v>2</v>
      </c>
      <c r="V35" s="842"/>
      <c r="W35" s="1011"/>
      <c r="X35" s="653"/>
      <c r="Y35" s="803"/>
      <c r="Z35" s="879"/>
      <c r="AA35" s="373"/>
      <c r="AB35" s="759"/>
      <c r="AC35" s="102"/>
      <c r="AD35" s="176" t="s">
        <v>239</v>
      </c>
      <c r="AF35" s="120"/>
      <c r="AG35" s="120"/>
      <c r="AH35" s="120"/>
      <c r="AI35" s="120"/>
      <c r="AJ35" s="102"/>
      <c r="AK35" s="102"/>
      <c r="AL35" s="102"/>
      <c r="AM35" s="102"/>
    </row>
    <row r="36" spans="1:39" outlineLevel="2" collapsed="1" x14ac:dyDescent="0.3">
      <c r="A36" s="782" t="s">
        <v>200</v>
      </c>
      <c r="L36" s="833"/>
      <c r="M36" s="710"/>
      <c r="N36" s="710"/>
      <c r="P36" s="212"/>
      <c r="Q36" s="212"/>
      <c r="R36" s="809"/>
      <c r="S36" s="924"/>
      <c r="T36" s="119">
        <f>SUM(T30:T35)</f>
        <v>12</v>
      </c>
      <c r="U36" s="813">
        <f>SUM(U30:U35)</f>
        <v>12</v>
      </c>
      <c r="V36" s="707">
        <f>Qo</f>
        <v>35</v>
      </c>
      <c r="W36" s="844">
        <f ca="1">Q</f>
        <v>15000</v>
      </c>
      <c r="X36" s="648">
        <f>experience_factor_selected</f>
        <v>0.79999999999999982</v>
      </c>
      <c r="Y36" s="806">
        <f ca="1">$U36*X36^LOG(W36/V36)</f>
        <v>6.6697851133345996</v>
      </c>
      <c r="Z36" s="878">
        <f ca="1">Y36/(P/1000)/1000</f>
        <v>4.4465234088897333E-2</v>
      </c>
      <c r="AA36" s="372">
        <f ca="1">Y36/AWES_capex</f>
        <v>2.6353506055315647E-2</v>
      </c>
      <c r="AB36" s="743">
        <f ca="1">AA36*$Y$130/$Y$135</f>
        <v>1.8342126751101803E-2</v>
      </c>
      <c r="AC36" s="102"/>
      <c r="AD36" s="102"/>
      <c r="AF36" s="120"/>
      <c r="AG36" s="120"/>
      <c r="AH36" s="120"/>
      <c r="AI36" s="120"/>
      <c r="AJ36" s="102"/>
      <c r="AK36" s="102"/>
      <c r="AL36" s="102"/>
      <c r="AM36" s="102"/>
    </row>
    <row r="37" spans="1:39" outlineLevel="2" x14ac:dyDescent="0.3">
      <c r="A37" s="782"/>
      <c r="L37" s="833"/>
      <c r="M37" s="710"/>
      <c r="N37" s="710"/>
      <c r="P37" s="212"/>
      <c r="Q37" s="212"/>
      <c r="R37" s="794"/>
      <c r="S37" s="924"/>
      <c r="T37" s="795"/>
      <c r="U37" s="764"/>
      <c r="W37" s="214"/>
      <c r="X37" s="212"/>
      <c r="Y37" s="796"/>
      <c r="Z37" s="876"/>
      <c r="AA37" s="378"/>
      <c r="AB37" s="757"/>
      <c r="AC37" s="102"/>
      <c r="AD37" s="102"/>
      <c r="AF37" s="120"/>
      <c r="AG37" s="120"/>
      <c r="AH37" s="120"/>
      <c r="AI37" s="120"/>
      <c r="AJ37" s="102"/>
      <c r="AK37" s="102"/>
      <c r="AL37" s="102"/>
      <c r="AM37" s="102"/>
    </row>
    <row r="38" spans="1:39" outlineLevel="2" x14ac:dyDescent="0.3">
      <c r="A38" s="779" t="s">
        <v>1135</v>
      </c>
      <c r="E38" s="102" t="s">
        <v>1158</v>
      </c>
      <c r="L38" s="833"/>
      <c r="M38" s="710"/>
      <c r="N38" s="710"/>
      <c r="P38" s="650"/>
      <c r="Q38" s="1541">
        <f>Inputs!C68</f>
        <v>0.05</v>
      </c>
      <c r="R38" s="710"/>
      <c r="S38" s="924" t="s">
        <v>487</v>
      </c>
      <c r="U38" s="802"/>
      <c r="V38" s="710"/>
      <c r="W38" s="1007"/>
      <c r="X38" s="650"/>
      <c r="Y38" s="802"/>
      <c r="Z38" s="878"/>
      <c r="AA38" s="372"/>
      <c r="AB38" s="743"/>
      <c r="AC38" s="102"/>
      <c r="AD38" s="102" t="s">
        <v>229</v>
      </c>
      <c r="AF38" s="120"/>
      <c r="AG38" s="120"/>
      <c r="AH38" s="120"/>
      <c r="AI38" s="120"/>
      <c r="AJ38" s="102"/>
      <c r="AK38" s="102"/>
      <c r="AL38" s="102"/>
      <c r="AM38" s="102"/>
    </row>
    <row r="39" spans="1:39" outlineLevel="2" x14ac:dyDescent="0.3">
      <c r="A39" s="779" t="s">
        <v>1136</v>
      </c>
      <c r="L39" s="833"/>
      <c r="M39" s="710"/>
      <c r="N39" s="710"/>
      <c r="P39" s="650"/>
      <c r="Q39" s="1541">
        <f>Inputs!C69</f>
        <v>6.0000000000000005E-2</v>
      </c>
      <c r="R39" s="710"/>
      <c r="S39" s="924" t="s">
        <v>487</v>
      </c>
      <c r="U39" s="802"/>
      <c r="V39" s="710"/>
      <c r="W39" s="1007"/>
      <c r="X39" s="650"/>
      <c r="Y39" s="802"/>
      <c r="Z39" s="878"/>
      <c r="AA39" s="372"/>
      <c r="AB39" s="743"/>
      <c r="AC39" s="102"/>
      <c r="AD39" s="102" t="s">
        <v>230</v>
      </c>
      <c r="AF39" s="120"/>
      <c r="AG39" s="120"/>
      <c r="AH39" s="120"/>
      <c r="AI39" s="120"/>
      <c r="AJ39" s="102"/>
      <c r="AK39" s="102"/>
      <c r="AL39" s="102"/>
      <c r="AM39" s="102"/>
    </row>
    <row r="40" spans="1:39" outlineLevel="2" x14ac:dyDescent="0.3">
      <c r="A40" s="779" t="s">
        <v>1137</v>
      </c>
      <c r="L40" s="833"/>
      <c r="M40" s="710"/>
      <c r="N40" s="710"/>
      <c r="P40" s="650"/>
      <c r="Q40" s="1541">
        <f>Inputs!C70</f>
        <v>0.04</v>
      </c>
      <c r="R40" s="710"/>
      <c r="S40" s="924" t="s">
        <v>487</v>
      </c>
      <c r="U40" s="802"/>
      <c r="V40" s="710"/>
      <c r="W40" s="1007"/>
      <c r="X40" s="650"/>
      <c r="Y40" s="802"/>
      <c r="Z40" s="878"/>
      <c r="AA40" s="372"/>
      <c r="AB40" s="743"/>
      <c r="AC40" s="102"/>
      <c r="AD40" s="102" t="s">
        <v>229</v>
      </c>
      <c r="AF40" s="120"/>
      <c r="AG40" s="120"/>
      <c r="AH40" s="120"/>
      <c r="AI40" s="120"/>
      <c r="AJ40" s="102"/>
      <c r="AK40" s="102"/>
      <c r="AL40" s="102"/>
      <c r="AM40" s="102"/>
    </row>
    <row r="41" spans="1:39" outlineLevel="2" x14ac:dyDescent="0.3">
      <c r="A41" s="779" t="s">
        <v>1138</v>
      </c>
      <c r="L41" s="833"/>
      <c r="M41" s="710"/>
      <c r="N41" s="710"/>
      <c r="P41" s="650"/>
      <c r="Q41" s="1541">
        <f>Inputs!C71</f>
        <v>6.25E-2</v>
      </c>
      <c r="R41" s="710"/>
      <c r="S41" s="924" t="s">
        <v>487</v>
      </c>
      <c r="U41" s="802"/>
      <c r="V41" s="710"/>
      <c r="W41" s="1007"/>
      <c r="X41" s="650"/>
      <c r="Y41" s="802"/>
      <c r="Z41" s="878"/>
      <c r="AA41" s="372"/>
      <c r="AB41" s="743"/>
      <c r="AC41" s="102"/>
      <c r="AD41" s="102" t="s">
        <v>231</v>
      </c>
      <c r="AF41" s="120"/>
      <c r="AG41" s="120"/>
      <c r="AH41" s="120"/>
      <c r="AI41" s="120"/>
      <c r="AJ41" s="102"/>
      <c r="AK41" s="102"/>
      <c r="AL41" s="102"/>
      <c r="AM41" s="102"/>
    </row>
    <row r="42" spans="1:39" outlineLevel="2" x14ac:dyDescent="0.3">
      <c r="A42" s="779" t="s">
        <v>1139</v>
      </c>
      <c r="L42" s="833"/>
      <c r="M42" s="710"/>
      <c r="N42" s="710"/>
      <c r="P42" s="650"/>
      <c r="Q42" s="1541">
        <f>Inputs!C72</f>
        <v>6.25E-2</v>
      </c>
      <c r="R42" s="710"/>
      <c r="S42" s="924" t="s">
        <v>487</v>
      </c>
      <c r="U42" s="802"/>
      <c r="V42" s="710"/>
      <c r="W42" s="1007"/>
      <c r="X42" s="650"/>
      <c r="Y42" s="802"/>
      <c r="Z42" s="878"/>
      <c r="AA42" s="372"/>
      <c r="AB42" s="743"/>
      <c r="AC42" s="102"/>
      <c r="AD42" s="102" t="s">
        <v>231</v>
      </c>
      <c r="AF42" s="120"/>
      <c r="AG42" s="120"/>
      <c r="AH42" s="120"/>
      <c r="AI42" s="120"/>
      <c r="AJ42" s="102"/>
      <c r="AK42" s="102"/>
      <c r="AL42" s="102"/>
      <c r="AM42" s="102"/>
    </row>
    <row r="43" spans="1:39" outlineLevel="2" x14ac:dyDescent="0.3">
      <c r="A43" s="779" t="s">
        <v>1140</v>
      </c>
      <c r="L43" s="833"/>
      <c r="M43" s="710"/>
      <c r="N43" s="710"/>
      <c r="P43" s="650"/>
      <c r="Q43" s="1541">
        <f>Inputs!C73</f>
        <v>6.25E-2</v>
      </c>
      <c r="R43" s="710"/>
      <c r="S43" s="924" t="s">
        <v>487</v>
      </c>
      <c r="U43" s="802"/>
      <c r="V43" s="710"/>
      <c r="W43" s="1007"/>
      <c r="X43" s="650"/>
      <c r="Y43" s="802"/>
      <c r="Z43" s="878"/>
      <c r="AA43" s="372"/>
      <c r="AB43" s="743"/>
      <c r="AC43" s="102"/>
      <c r="AD43" s="102" t="s">
        <v>231</v>
      </c>
      <c r="AF43" s="120"/>
      <c r="AG43" s="120"/>
      <c r="AH43" s="120"/>
      <c r="AI43" s="120"/>
      <c r="AJ43" s="102"/>
      <c r="AK43" s="102"/>
      <c r="AL43" s="102"/>
      <c r="AM43" s="102"/>
    </row>
    <row r="44" spans="1:39" outlineLevel="2" x14ac:dyDescent="0.3">
      <c r="A44" s="780" t="s">
        <v>228</v>
      </c>
      <c r="B44" s="178"/>
      <c r="C44" s="178"/>
      <c r="D44" s="176"/>
      <c r="E44" s="176"/>
      <c r="F44" s="176"/>
      <c r="G44" s="176"/>
      <c r="H44" s="176"/>
      <c r="I44" s="176"/>
      <c r="J44" s="176"/>
      <c r="K44" s="176"/>
      <c r="L44" s="835"/>
      <c r="M44" s="711"/>
      <c r="N44" s="711"/>
      <c r="O44" s="178"/>
      <c r="P44" s="653"/>
      <c r="Q44" s="1541">
        <f>Inputs!C74</f>
        <v>0.12857142857142859</v>
      </c>
      <c r="R44" s="711"/>
      <c r="S44" s="823" t="s">
        <v>487</v>
      </c>
      <c r="T44" s="178"/>
      <c r="U44" s="803"/>
      <c r="V44" s="711"/>
      <c r="W44" s="1008"/>
      <c r="X44" s="653"/>
      <c r="Y44" s="803"/>
      <c r="Z44" s="879"/>
      <c r="AA44" s="373"/>
      <c r="AB44" s="759"/>
      <c r="AC44" s="102"/>
      <c r="AD44" s="176" t="s">
        <v>254</v>
      </c>
      <c r="AF44" s="120"/>
      <c r="AG44" s="120"/>
      <c r="AH44" s="120"/>
      <c r="AI44" s="120"/>
      <c r="AJ44" s="102"/>
      <c r="AK44" s="102"/>
      <c r="AL44" s="102"/>
      <c r="AM44" s="102"/>
    </row>
    <row r="45" spans="1:39" outlineLevel="2" x14ac:dyDescent="0.3">
      <c r="A45" s="782" t="s">
        <v>516</v>
      </c>
      <c r="L45" s="833" t="s">
        <v>495</v>
      </c>
      <c r="M45" s="1532">
        <f>Inputs!C77</f>
        <v>337.5</v>
      </c>
      <c r="N45" s="450">
        <f ca="1">Tmax_p</f>
        <v>42.000000000000007</v>
      </c>
      <c r="O45" s="119" t="s">
        <v>535</v>
      </c>
      <c r="P45" s="648">
        <f>scaling_factor_selected</f>
        <v>0.79999999999999982</v>
      </c>
      <c r="Q45" s="805">
        <f>SUM(Q38:Q44)</f>
        <v>0.46607142857142858</v>
      </c>
      <c r="R45" s="805">
        <f ca="1">Q45*P45^LOG(N45/M45)</f>
        <v>0.57037228578122945</v>
      </c>
      <c r="S45" s="924" t="s">
        <v>487</v>
      </c>
      <c r="T45" s="715">
        <f>IF(M45=0,Q45,M45*Q45)</f>
        <v>157.29910714285714</v>
      </c>
      <c r="U45" s="806">
        <f ca="1">IF(N45=0,R45,N45*R45)</f>
        <v>23.955636002811641</v>
      </c>
      <c r="V45" s="843">
        <f t="shared" ref="V45:V52" si="1">Qo</f>
        <v>35</v>
      </c>
      <c r="W45" s="844">
        <f t="shared" ref="W45:W52" ca="1" si="2">Q</f>
        <v>15000</v>
      </c>
      <c r="X45" s="648">
        <f>experience_factor_selected</f>
        <v>0.79999999999999982</v>
      </c>
      <c r="Y45" s="806">
        <f ca="1">$U45*X45^LOG(W45/V45)</f>
        <v>13.314912032667953</v>
      </c>
      <c r="Z45" s="878">
        <f t="shared" ref="Z45:Z52" ca="1" si="3">Y45/(P/1000)/1000</f>
        <v>8.8766080217786356E-2</v>
      </c>
      <c r="AA45" s="372">
        <f t="shared" ref="AA45:AA52" ca="1" si="4">Y45/AWES_capex</f>
        <v>5.2609583204919499E-2</v>
      </c>
      <c r="AB45" s="743">
        <f t="shared" ref="AB45:AB52" ca="1" si="5">AA45*$Y$130/$Y$135</f>
        <v>3.6616442663902404E-2</v>
      </c>
      <c r="AC45" s="102"/>
      <c r="AD45" s="102"/>
      <c r="AF45" s="120"/>
      <c r="AG45" s="120"/>
      <c r="AH45" s="120"/>
      <c r="AI45" s="120"/>
      <c r="AJ45" s="102"/>
      <c r="AK45" s="102"/>
      <c r="AL45" s="102"/>
      <c r="AM45" s="102"/>
    </row>
    <row r="46" spans="1:39" outlineLevel="2" x14ac:dyDescent="0.3">
      <c r="A46" s="783" t="s">
        <v>336</v>
      </c>
      <c r="B46" s="227" t="s">
        <v>173</v>
      </c>
      <c r="C46" s="227" t="s">
        <v>173</v>
      </c>
      <c r="D46" s="176"/>
      <c r="E46" s="176"/>
      <c r="F46" s="176"/>
      <c r="G46" s="176"/>
      <c r="H46" s="176"/>
      <c r="I46" s="176"/>
      <c r="J46" s="176"/>
      <c r="K46" s="176"/>
      <c r="L46" s="835" t="s">
        <v>495</v>
      </c>
      <c r="M46" s="1529">
        <f>Inputs!C80</f>
        <v>337.5</v>
      </c>
      <c r="N46" s="706">
        <f ca="1">Tmax_p</f>
        <v>42.000000000000007</v>
      </c>
      <c r="O46" s="178" t="s">
        <v>535</v>
      </c>
      <c r="P46" s="652">
        <f>scaling_factor_selected</f>
        <v>0.79999999999999982</v>
      </c>
      <c r="Q46" s="1531">
        <f>Inputs!C81</f>
        <v>4.8571428571428571E-2</v>
      </c>
      <c r="R46" s="848">
        <f ca="1">Q46*P46^LOG(N46/M46)</f>
        <v>5.9441096449231567E-2</v>
      </c>
      <c r="S46" s="823" t="s">
        <v>487</v>
      </c>
      <c r="T46" s="725">
        <f>IF(M46=0,Q46,M46*Q46)</f>
        <v>16.392857142857142</v>
      </c>
      <c r="U46" s="849">
        <f ca="1">IF(N46=0,R46,N46*R46)</f>
        <v>2.4965260508677263</v>
      </c>
      <c r="V46" s="850">
        <f t="shared" si="1"/>
        <v>35</v>
      </c>
      <c r="W46" s="1009">
        <f t="shared" ca="1" si="2"/>
        <v>15000</v>
      </c>
      <c r="X46" s="652">
        <f>experience_factor_selected</f>
        <v>0.79999999999999982</v>
      </c>
      <c r="Y46" s="849">
        <f ca="1">$U46*X46^LOG(W46/V46)</f>
        <v>1.3876076907607982</v>
      </c>
      <c r="Z46" s="879">
        <f t="shared" ca="1" si="3"/>
        <v>9.2507179384053208E-3</v>
      </c>
      <c r="AA46" s="373">
        <f t="shared" ca="1" si="4"/>
        <v>5.4826845332329897E-3</v>
      </c>
      <c r="AB46" s="759">
        <f t="shared" ca="1" si="5"/>
        <v>3.8159664385369551E-3</v>
      </c>
      <c r="AC46" s="102"/>
      <c r="AD46" s="102" t="s">
        <v>254</v>
      </c>
      <c r="AF46" s="120"/>
      <c r="AG46" s="120"/>
      <c r="AH46" s="120"/>
      <c r="AI46" s="120"/>
      <c r="AJ46" s="102"/>
      <c r="AK46" s="102"/>
      <c r="AL46" s="102"/>
      <c r="AM46" s="102"/>
    </row>
    <row r="47" spans="1:39" outlineLevel="1" x14ac:dyDescent="0.3">
      <c r="A47" s="206" t="s">
        <v>516</v>
      </c>
      <c r="B47" s="1549">
        <f>Inputs!C83</f>
        <v>241.07142857142901</v>
      </c>
      <c r="C47" s="724">
        <f ca="1">250*Tmax_p*1000/350000</f>
        <v>30.000000000000004</v>
      </c>
      <c r="D47" s="198"/>
      <c r="E47" s="198"/>
      <c r="F47" s="198"/>
      <c r="G47" s="198"/>
      <c r="H47" s="198"/>
      <c r="I47" s="198"/>
      <c r="J47" s="198"/>
      <c r="K47" s="198"/>
      <c r="L47" s="836"/>
      <c r="M47" s="709"/>
      <c r="N47" s="709"/>
      <c r="O47" s="709"/>
      <c r="P47" s="371"/>
      <c r="Q47" s="217"/>
      <c r="R47" s="213"/>
      <c r="S47" s="926"/>
      <c r="T47" s="213">
        <f>SUM(T36:T46)</f>
        <v>185.69196428571428</v>
      </c>
      <c r="U47" s="808">
        <f ca="1">SUM(U36:U46)</f>
        <v>38.452162053679373</v>
      </c>
      <c r="V47" s="847">
        <f t="shared" si="1"/>
        <v>35</v>
      </c>
      <c r="W47" s="1012">
        <f t="shared" ca="1" si="2"/>
        <v>15000</v>
      </c>
      <c r="X47" s="649">
        <f ca="1">IFERROR(10^(LOG(Y47/U47)/LOG(W47/V47)),)</f>
        <v>0.79999999999999971</v>
      </c>
      <c r="Y47" s="808">
        <f ca="1">SUM(Y30:Y46)</f>
        <v>21.372304836763352</v>
      </c>
      <c r="Z47" s="881">
        <f t="shared" ca="1" si="3"/>
        <v>0.14248203224508901</v>
      </c>
      <c r="AA47" s="371">
        <f t="shared" ca="1" si="4"/>
        <v>8.444577379346814E-2</v>
      </c>
      <c r="AB47" s="761">
        <f t="shared" ca="1" si="5"/>
        <v>5.8774535853541171E-2</v>
      </c>
      <c r="AC47" s="102"/>
      <c r="AD47" s="200"/>
      <c r="AF47" s="120"/>
      <c r="AG47" s="120"/>
      <c r="AH47" s="120"/>
      <c r="AI47" s="120"/>
      <c r="AJ47" s="102"/>
      <c r="AK47" s="102"/>
      <c r="AL47" s="102"/>
      <c r="AM47" s="102"/>
    </row>
    <row r="48" spans="1:39" outlineLevel="1" x14ac:dyDescent="0.3">
      <c r="A48" s="782" t="s">
        <v>186</v>
      </c>
      <c r="B48" s="1550">
        <f>Inputs!C85</f>
        <v>123.19805060619657</v>
      </c>
      <c r="C48" s="122">
        <f ca="1">25+100*SQRT(Tmax_p*1000/350000*wing_area/90)</f>
        <v>37.64911064067352</v>
      </c>
      <c r="L48" s="833"/>
      <c r="M48" s="710"/>
      <c r="N48" s="710"/>
      <c r="P48" s="650"/>
      <c r="Q48" s="815"/>
      <c r="R48" s="749"/>
      <c r="S48" s="924"/>
      <c r="T48" s="1532">
        <f>Inputs!C87</f>
        <v>100</v>
      </c>
      <c r="U48" s="810">
        <f>$T$48</f>
        <v>100</v>
      </c>
      <c r="V48" s="843">
        <f t="shared" si="1"/>
        <v>35</v>
      </c>
      <c r="W48" s="844">
        <f t="shared" ca="1" si="2"/>
        <v>15000</v>
      </c>
      <c r="X48" s="1536">
        <f>Inputs!C88</f>
        <v>0.5</v>
      </c>
      <c r="Y48" s="806">
        <f ca="1">$U48*X48^LOG(W48/V48)</f>
        <v>16.131771548873811</v>
      </c>
      <c r="Z48" s="878">
        <f t="shared" ca="1" si="3"/>
        <v>0.10754514365915874</v>
      </c>
      <c r="AA48" s="372">
        <f t="shared" ca="1" si="4"/>
        <v>6.3739495646759889E-2</v>
      </c>
      <c r="AB48" s="743">
        <f t="shared" ca="1" si="5"/>
        <v>4.4362898270545452E-2</v>
      </c>
      <c r="AC48" s="102"/>
      <c r="AD48" s="102" t="s">
        <v>219</v>
      </c>
      <c r="AF48" s="120"/>
      <c r="AG48" s="120"/>
      <c r="AH48" s="120"/>
      <c r="AI48" s="120"/>
      <c r="AJ48" s="102"/>
      <c r="AK48" s="102"/>
      <c r="AL48" s="102"/>
      <c r="AM48" s="102"/>
    </row>
    <row r="49" spans="1:39" outlineLevel="1" x14ac:dyDescent="0.3">
      <c r="A49" s="782" t="s">
        <v>187</v>
      </c>
      <c r="B49" s="1550">
        <f>Inputs!C90</f>
        <v>233.88677982718551</v>
      </c>
      <c r="C49" s="122">
        <f ca="1">(100+200)*Mp/3600</f>
        <v>36.38079604328</v>
      </c>
      <c r="J49" s="195"/>
      <c r="L49" s="833" t="s">
        <v>494</v>
      </c>
      <c r="M49" s="708">
        <f>B49</f>
        <v>233.88677982718551</v>
      </c>
      <c r="N49" s="708">
        <f ca="1">C49</f>
        <v>36.38079604328</v>
      </c>
      <c r="O49" s="119" t="s">
        <v>173</v>
      </c>
      <c r="P49" s="648">
        <f>scaling_factor_selected</f>
        <v>0.79999999999999982</v>
      </c>
      <c r="Q49" s="1530">
        <f>Inputs!C91</f>
        <v>0.42500000000000004</v>
      </c>
      <c r="R49" s="805">
        <f ca="1">Q49*P49^LOG(N49/M49)</f>
        <v>0.50898520173078188</v>
      </c>
      <c r="S49" s="924" t="s">
        <v>486</v>
      </c>
      <c r="T49" s="715">
        <f t="shared" ref="T49:U51" si="6">IF(M49=0,Q49,M49*Q49)</f>
        <v>99.401881426553857</v>
      </c>
      <c r="U49" s="806">
        <f t="shared" ca="1" si="6"/>
        <v>18.517286813215303</v>
      </c>
      <c r="V49" s="843">
        <f t="shared" si="1"/>
        <v>35</v>
      </c>
      <c r="W49" s="844">
        <f t="shared" ca="1" si="2"/>
        <v>15000</v>
      </c>
      <c r="X49" s="648">
        <f>experience_factor_selected</f>
        <v>0.79999999999999982</v>
      </c>
      <c r="Y49" s="806">
        <f ca="1">$U49*X49^LOG(W49/V49)</f>
        <v>10.292193660510875</v>
      </c>
      <c r="Z49" s="878">
        <f t="shared" ca="1" si="3"/>
        <v>6.8614624403405836E-2</v>
      </c>
      <c r="AA49" s="372">
        <f t="shared" ca="1" si="4"/>
        <v>4.0666285846673832E-2</v>
      </c>
      <c r="AB49" s="743">
        <f t="shared" ca="1" si="5"/>
        <v>2.8303868484541753E-2</v>
      </c>
      <c r="AC49" s="102"/>
      <c r="AD49" s="102" t="s">
        <v>220</v>
      </c>
      <c r="AF49" s="120"/>
      <c r="AG49" s="120"/>
      <c r="AH49" s="120"/>
      <c r="AI49" s="120"/>
      <c r="AJ49" s="102"/>
      <c r="AK49" s="102"/>
      <c r="AL49" s="102"/>
      <c r="AM49" s="102"/>
    </row>
    <row r="50" spans="1:39" outlineLevel="1" x14ac:dyDescent="0.3">
      <c r="A50" s="782" t="s">
        <v>190</v>
      </c>
      <c r="B50" s="1550">
        <f>Inputs!C93</f>
        <v>303.75</v>
      </c>
      <c r="C50" s="122">
        <f ca="1">450*P/1000/2</f>
        <v>33.75</v>
      </c>
      <c r="J50" s="195"/>
      <c r="L50" s="833" t="s">
        <v>494</v>
      </c>
      <c r="M50" s="708">
        <f>B50</f>
        <v>303.75</v>
      </c>
      <c r="N50" s="708">
        <f ca="1">C50</f>
        <v>33.75</v>
      </c>
      <c r="O50" s="119" t="s">
        <v>173</v>
      </c>
      <c r="P50" s="648">
        <f>scaling_factor_selected</f>
        <v>0.79999999999999982</v>
      </c>
      <c r="Q50" s="1530">
        <f>Inputs!C94</f>
        <v>0.2</v>
      </c>
      <c r="R50" s="805">
        <f ca="1">Q50*P50^LOG(N50/M50)</f>
        <v>0.24746036528426096</v>
      </c>
      <c r="S50" s="924" t="s">
        <v>486</v>
      </c>
      <c r="T50" s="715">
        <f t="shared" si="6"/>
        <v>60.75</v>
      </c>
      <c r="U50" s="806">
        <f t="shared" ca="1" si="6"/>
        <v>8.3517873283438071</v>
      </c>
      <c r="V50" s="843">
        <f t="shared" si="1"/>
        <v>35</v>
      </c>
      <c r="W50" s="844">
        <f t="shared" ca="1" si="2"/>
        <v>15000</v>
      </c>
      <c r="X50" s="648">
        <f>experience_factor_selected</f>
        <v>0.79999999999999982</v>
      </c>
      <c r="Y50" s="806">
        <f ca="1">$U50*X50^LOG(W50/V50)</f>
        <v>4.642052232693672</v>
      </c>
      <c r="Z50" s="878">
        <f t="shared" ca="1" si="3"/>
        <v>3.094701488462448E-2</v>
      </c>
      <c r="AA50" s="372">
        <f t="shared" ca="1" si="4"/>
        <v>1.8341573160851412E-2</v>
      </c>
      <c r="AB50" s="743">
        <f t="shared" ca="1" si="5"/>
        <v>1.2765795147893997E-2</v>
      </c>
      <c r="AC50" s="102"/>
      <c r="AD50" s="102" t="s">
        <v>226</v>
      </c>
      <c r="AF50" s="120"/>
      <c r="AG50" s="120"/>
      <c r="AH50" s="120"/>
      <c r="AI50" s="120"/>
      <c r="AJ50" s="102"/>
      <c r="AK50" s="102"/>
      <c r="AL50" s="102"/>
      <c r="AM50" s="102"/>
    </row>
    <row r="51" spans="1:39" outlineLevel="1" collapsed="1" x14ac:dyDescent="0.3">
      <c r="A51" s="783" t="s">
        <v>482</v>
      </c>
      <c r="B51" s="1529">
        <f>Inputs!C96</f>
        <v>67.5</v>
      </c>
      <c r="C51" s="725">
        <f ca="1">100*P/1000/2</f>
        <v>7.5</v>
      </c>
      <c r="D51" s="176"/>
      <c r="E51" s="176"/>
      <c r="F51" s="176"/>
      <c r="G51" s="176"/>
      <c r="H51" s="176"/>
      <c r="I51" s="176"/>
      <c r="J51" s="176"/>
      <c r="K51" s="176"/>
      <c r="L51" s="835" t="s">
        <v>287</v>
      </c>
      <c r="M51" s="706">
        <f>Wo</f>
        <v>90</v>
      </c>
      <c r="N51" s="706">
        <f ca="1">wing_area</f>
        <v>12</v>
      </c>
      <c r="O51" s="178" t="s">
        <v>51</v>
      </c>
      <c r="P51" s="652">
        <f>scaling_factor_selected</f>
        <v>0.79999999999999982</v>
      </c>
      <c r="Q51" s="1531">
        <f>Inputs!C97</f>
        <v>0.22222222222222221</v>
      </c>
      <c r="R51" s="848">
        <f ca="1">Q51*P51^LOG(N51/M51)</f>
        <v>0.27014049084589786</v>
      </c>
      <c r="S51" s="823" t="s">
        <v>485</v>
      </c>
      <c r="T51" s="725">
        <f t="shared" si="6"/>
        <v>20</v>
      </c>
      <c r="U51" s="849">
        <f t="shared" ca="1" si="6"/>
        <v>3.2416858901507744</v>
      </c>
      <c r="V51" s="850">
        <f t="shared" si="1"/>
        <v>35</v>
      </c>
      <c r="W51" s="1009">
        <f t="shared" ca="1" si="2"/>
        <v>15000</v>
      </c>
      <c r="X51" s="1552">
        <f>Inputs!C98</f>
        <v>0.5</v>
      </c>
      <c r="Y51" s="849">
        <f ca="1">$U51*X51^LOG(W51/V51)</f>
        <v>0.52294136213119935</v>
      </c>
      <c r="Z51" s="879">
        <f t="shared" ca="1" si="3"/>
        <v>3.4862757475413292E-3</v>
      </c>
      <c r="AA51" s="373">
        <f t="shared" ca="1" si="4"/>
        <v>2.0662342368342823E-3</v>
      </c>
      <c r="AB51" s="759">
        <f t="shared" ca="1" si="5"/>
        <v>1.4381058136982139E-3</v>
      </c>
      <c r="AC51" s="102"/>
      <c r="AD51" s="102" t="s">
        <v>241</v>
      </c>
      <c r="AF51" s="120"/>
      <c r="AG51" s="120"/>
      <c r="AH51" s="120"/>
      <c r="AI51" s="120"/>
      <c r="AJ51" s="102"/>
      <c r="AK51" s="102"/>
      <c r="AL51" s="102"/>
      <c r="AM51" s="102"/>
    </row>
    <row r="52" spans="1:39" s="84" customFormat="1" x14ac:dyDescent="0.3">
      <c r="A52" s="199" t="s">
        <v>185</v>
      </c>
      <c r="B52" s="656"/>
      <c r="C52" s="656"/>
      <c r="D52" s="199"/>
      <c r="E52" s="199"/>
      <c r="F52" s="199"/>
      <c r="G52" s="199"/>
      <c r="H52" s="199"/>
      <c r="I52" s="199"/>
      <c r="J52" s="199"/>
      <c r="K52" s="199"/>
      <c r="L52" s="837"/>
      <c r="M52" s="656"/>
      <c r="N52" s="656"/>
      <c r="O52" s="785"/>
      <c r="P52" s="379"/>
      <c r="Q52" s="816"/>
      <c r="R52" s="656"/>
      <c r="S52" s="927"/>
      <c r="T52" s="656">
        <f ca="1">SUM(T47:T51,T28)</f>
        <v>989.75847309100527</v>
      </c>
      <c r="U52" s="817">
        <f ca="1">SUM(U47:U51,U28)</f>
        <v>282.92021523146457</v>
      </c>
      <c r="V52" s="852">
        <f t="shared" si="1"/>
        <v>35</v>
      </c>
      <c r="W52" s="1013">
        <f t="shared" ca="1" si="2"/>
        <v>15000</v>
      </c>
      <c r="X52" s="651">
        <f ca="1">IFERROR(10^(LOG(Y52/U52)/LOG(W52/V52)),)</f>
        <v>0.62459891098173304</v>
      </c>
      <c r="Y52" s="817">
        <f ca="1">SUM(Y47:Y51,Y28)</f>
        <v>81.975042941422117</v>
      </c>
      <c r="Z52" s="882">
        <f t="shared" ca="1" si="3"/>
        <v>0.54650028627614744</v>
      </c>
      <c r="AA52" s="379">
        <f t="shared" ca="1" si="4"/>
        <v>0.32389795980420394</v>
      </c>
      <c r="AB52" s="762">
        <f t="shared" ca="1" si="5"/>
        <v>0.22543404360247005</v>
      </c>
      <c r="AC52" s="102"/>
      <c r="AD52" s="199"/>
    </row>
    <row r="53" spans="1:39" outlineLevel="1" x14ac:dyDescent="0.3">
      <c r="A53" s="694"/>
      <c r="B53" s="42" t="s">
        <v>173</v>
      </c>
      <c r="C53" s="42" t="s">
        <v>173</v>
      </c>
      <c r="L53" s="833"/>
      <c r="P53" s="212"/>
      <c r="Q53" s="212"/>
      <c r="R53" s="794"/>
      <c r="S53" s="924"/>
      <c r="T53" s="795"/>
      <c r="U53" s="764"/>
      <c r="V53" s="752"/>
      <c r="W53" s="214"/>
      <c r="X53" s="212"/>
      <c r="Y53" s="796"/>
      <c r="Z53" s="876"/>
      <c r="AA53" s="378"/>
      <c r="AB53" s="757"/>
      <c r="AC53" s="102"/>
      <c r="AD53" s="102"/>
      <c r="AF53" s="120"/>
      <c r="AG53" s="120"/>
      <c r="AH53" s="120"/>
      <c r="AI53" s="120"/>
      <c r="AJ53" s="102"/>
      <c r="AK53" s="102"/>
      <c r="AL53" s="102"/>
      <c r="AM53" s="102"/>
    </row>
    <row r="54" spans="1:39" outlineLevel="1" x14ac:dyDescent="0.3">
      <c r="A54" s="782" t="s">
        <v>192</v>
      </c>
      <c r="B54" s="1532">
        <f>Inputs!C100</f>
        <v>117.073233969375</v>
      </c>
      <c r="C54" s="122">
        <f ca="1">cable_mass/2</f>
        <v>24.226758010516196</v>
      </c>
      <c r="L54" s="833" t="s">
        <v>496</v>
      </c>
      <c r="M54" s="708">
        <f>B54</f>
        <v>117.073233969375</v>
      </c>
      <c r="N54" s="450">
        <f ca="1">Performance!C23*0.5</f>
        <v>24.226758010516196</v>
      </c>
      <c r="O54" s="119" t="s">
        <v>173</v>
      </c>
      <c r="P54" s="648">
        <f>scaling_factor_selected</f>
        <v>0.79999999999999982</v>
      </c>
      <c r="Q54" s="1530">
        <f>Inputs!C101</f>
        <v>0.05</v>
      </c>
      <c r="R54" s="805">
        <f ca="1">Q54*P54^LOG(N54/M54)</f>
        <v>5.8246815057169658E-2</v>
      </c>
      <c r="S54" s="924" t="s">
        <v>486</v>
      </c>
      <c r="T54" s="715">
        <f>IF(M54=0,Q54,M54*Q54)</f>
        <v>5.8536616984687502</v>
      </c>
      <c r="U54" s="806">
        <f ca="1">IF(N54=0,R54,N54*R54)</f>
        <v>1.4111314932733403</v>
      </c>
      <c r="V54" s="843">
        <f>Qo</f>
        <v>35</v>
      </c>
      <c r="W54" s="844">
        <f ca="1">Q</f>
        <v>15000</v>
      </c>
      <c r="X54" s="648">
        <f>experience_factor_selected</f>
        <v>0.79999999999999982</v>
      </c>
      <c r="Y54" s="806">
        <f ca="1">$U54*X54^LOG(W54/V54)</f>
        <v>0.784328652232679</v>
      </c>
      <c r="Z54" s="878">
        <f ca="1">Y54/(P/1000)/1000</f>
        <v>5.2288576815511939E-3</v>
      </c>
      <c r="AA54" s="372">
        <f ca="1">Y54/AWES_capex</f>
        <v>3.0990218627354651E-3</v>
      </c>
      <c r="AB54" s="743">
        <f ca="1">AA54*$Y$130/$Y$135</f>
        <v>2.1569293926742639E-3</v>
      </c>
      <c r="AC54" s="102"/>
      <c r="AD54" s="102" t="s">
        <v>227</v>
      </c>
      <c r="AF54" s="120"/>
      <c r="AG54" s="120"/>
      <c r="AH54" s="120"/>
      <c r="AI54" s="120"/>
      <c r="AJ54" s="102"/>
      <c r="AK54" s="102"/>
      <c r="AL54" s="102"/>
      <c r="AM54" s="102"/>
    </row>
    <row r="55" spans="1:39" outlineLevel="1" x14ac:dyDescent="0.3">
      <c r="A55" s="783" t="s">
        <v>193</v>
      </c>
      <c r="B55" s="1529">
        <f>Inputs!C103</f>
        <v>117.073233969375</v>
      </c>
      <c r="C55" s="215">
        <f ca="1">cable_mass/2</f>
        <v>24.226758010516196</v>
      </c>
      <c r="D55" s="176"/>
      <c r="E55" s="176"/>
      <c r="F55" s="176"/>
      <c r="G55" s="176"/>
      <c r="H55" s="176"/>
      <c r="I55" s="176"/>
      <c r="J55" s="176"/>
      <c r="K55" s="176"/>
      <c r="L55" s="835" t="s">
        <v>496</v>
      </c>
      <c r="M55" s="719">
        <f>B55</f>
        <v>117.073233969375</v>
      </c>
      <c r="N55" s="706">
        <f ca="1">Performance!C23</f>
        <v>48.453516021032392</v>
      </c>
      <c r="O55" s="178" t="s">
        <v>173</v>
      </c>
      <c r="P55" s="652">
        <f>scaling_factor_selected</f>
        <v>0.79999999999999982</v>
      </c>
      <c r="Q55" s="1531">
        <f>Inputs!C104</f>
        <v>0.05</v>
      </c>
      <c r="R55" s="848">
        <f ca="1">Q55*P55^LOG(N55/M55)</f>
        <v>5.4462724391011144E-2</v>
      </c>
      <c r="S55" s="823" t="s">
        <v>486</v>
      </c>
      <c r="T55" s="725">
        <f>IF(M55=0,Q55,M55*Q55)</f>
        <v>5.8536616984687502</v>
      </c>
      <c r="U55" s="849">
        <f ca="1">IF(N55=0,R55,N55*R55)</f>
        <v>2.6389104888289303</v>
      </c>
      <c r="V55" s="850">
        <f>Qo</f>
        <v>35</v>
      </c>
      <c r="W55" s="1009">
        <f ca="1">Q</f>
        <v>15000</v>
      </c>
      <c r="X55" s="652">
        <f>experience_factor_selected</f>
        <v>0.79999999999999982</v>
      </c>
      <c r="Y55" s="849">
        <f ca="1">$U55*X55^LOG(W55/V55)</f>
        <v>1.4667471578178108</v>
      </c>
      <c r="Z55" s="879">
        <f ca="1">Y55/(P/1000)/1000</f>
        <v>9.7783143854520728E-3</v>
      </c>
      <c r="AA55" s="373">
        <f ca="1">Y55/AWES_capex</f>
        <v>5.7953786288990989E-3</v>
      </c>
      <c r="AB55" s="759">
        <f ca="1">AA55*$Y$130/$Y$135</f>
        <v>4.0336025559093549E-3</v>
      </c>
      <c r="AC55" s="102"/>
      <c r="AD55" s="102" t="s">
        <v>227</v>
      </c>
      <c r="AF55" s="120"/>
      <c r="AG55" s="120"/>
      <c r="AH55" s="120"/>
      <c r="AI55" s="120"/>
      <c r="AJ55" s="102"/>
      <c r="AK55" s="102"/>
      <c r="AL55" s="102"/>
      <c r="AM55" s="102"/>
    </row>
    <row r="56" spans="1:39" s="84" customFormat="1" x14ac:dyDescent="0.3">
      <c r="A56" s="199" t="s">
        <v>191</v>
      </c>
      <c r="B56" s="656"/>
      <c r="C56" s="656"/>
      <c r="D56" s="199"/>
      <c r="E56" s="199"/>
      <c r="F56" s="199"/>
      <c r="G56" s="199"/>
      <c r="H56" s="199"/>
      <c r="I56" s="199"/>
      <c r="J56" s="199"/>
      <c r="K56" s="199"/>
      <c r="L56" s="837"/>
      <c r="M56" s="656"/>
      <c r="N56" s="656"/>
      <c r="O56" s="785"/>
      <c r="P56" s="379"/>
      <c r="Q56" s="816"/>
      <c r="R56" s="656"/>
      <c r="S56" s="927"/>
      <c r="T56" s="656">
        <f>SUM(T54:T55)</f>
        <v>11.7073233969375</v>
      </c>
      <c r="U56" s="817">
        <f ca="1">SUM(U54:U55)</f>
        <v>4.0500419821022708</v>
      </c>
      <c r="V56" s="852">
        <f>Qo</f>
        <v>35</v>
      </c>
      <c r="W56" s="1013">
        <f ca="1">Q</f>
        <v>15000</v>
      </c>
      <c r="X56" s="651">
        <f ca="1">IFERROR(10^(LOG(Y56/U56)/LOG(W56/V56)),)</f>
        <v>0.79999999999999982</v>
      </c>
      <c r="Y56" s="817">
        <f ca="1">SUM(Y54:Y55)</f>
        <v>2.25107581005049</v>
      </c>
      <c r="Z56" s="882">
        <f ca="1">Y56/(P/1000)/1000</f>
        <v>1.5007172067003267E-2</v>
      </c>
      <c r="AA56" s="379">
        <f ca="1">Y56/AWES_capex</f>
        <v>8.8944004916345631E-3</v>
      </c>
      <c r="AB56" s="762">
        <f ca="1">AA56*$Y$130/$Y$135</f>
        <v>6.1905319485836188E-3</v>
      </c>
      <c r="AC56" s="102"/>
      <c r="AD56" s="199"/>
    </row>
    <row r="57" spans="1:39" outlineLevel="1" x14ac:dyDescent="0.3">
      <c r="A57" s="694"/>
      <c r="L57" s="833"/>
      <c r="P57" s="212"/>
      <c r="Q57" s="212"/>
      <c r="R57" s="794"/>
      <c r="S57" s="924"/>
      <c r="T57" s="795"/>
      <c r="U57" s="764"/>
      <c r="V57" s="752"/>
      <c r="W57" s="214"/>
      <c r="X57" s="212"/>
      <c r="Y57" s="796"/>
      <c r="Z57" s="876"/>
      <c r="AA57" s="378"/>
      <c r="AB57" s="757"/>
      <c r="AC57" s="102"/>
      <c r="AD57" s="102"/>
      <c r="AF57" s="120"/>
      <c r="AG57" s="120"/>
      <c r="AH57" s="120"/>
      <c r="AI57" s="120"/>
      <c r="AJ57" s="102"/>
      <c r="AK57" s="102"/>
      <c r="AL57" s="102"/>
      <c r="AM57" s="102"/>
    </row>
    <row r="58" spans="1:39" outlineLevel="1" x14ac:dyDescent="0.3">
      <c r="A58" s="694"/>
      <c r="L58" s="833"/>
      <c r="P58" s="212"/>
      <c r="Q58" s="212"/>
      <c r="R58" s="794"/>
      <c r="S58" s="924"/>
      <c r="T58" s="795"/>
      <c r="U58" s="764"/>
      <c r="V58" s="752"/>
      <c r="W58" s="214"/>
      <c r="X58" s="212"/>
      <c r="Y58" s="796"/>
      <c r="Z58" s="876"/>
      <c r="AA58" s="378"/>
      <c r="AB58" s="757"/>
      <c r="AC58" s="102"/>
      <c r="AD58" s="102"/>
      <c r="AF58" s="120"/>
      <c r="AG58" s="120"/>
      <c r="AH58" s="120"/>
      <c r="AI58" s="120"/>
      <c r="AJ58" s="102"/>
      <c r="AK58" s="102"/>
      <c r="AL58" s="102"/>
      <c r="AM58" s="102"/>
    </row>
    <row r="59" spans="1:39" outlineLevel="1" x14ac:dyDescent="0.3">
      <c r="A59" s="782"/>
      <c r="I59" s="119"/>
      <c r="J59" s="119"/>
      <c r="K59" s="119"/>
      <c r="L59" s="833"/>
      <c r="P59" s="212"/>
      <c r="Q59" s="212"/>
      <c r="S59" s="924"/>
      <c r="U59" s="764"/>
      <c r="V59" s="752"/>
      <c r="W59" s="214"/>
      <c r="X59" s="212"/>
      <c r="Y59" s="764"/>
      <c r="Z59" s="883"/>
      <c r="AA59" s="369"/>
      <c r="AB59" s="763"/>
      <c r="AC59" s="102"/>
      <c r="AD59" s="102"/>
      <c r="AF59" s="120"/>
      <c r="AG59" s="120"/>
      <c r="AH59" s="120"/>
      <c r="AI59" s="120"/>
      <c r="AJ59" s="102"/>
      <c r="AK59" s="102"/>
      <c r="AL59" s="102"/>
      <c r="AM59" s="102"/>
    </row>
    <row r="60" spans="1:39" outlineLevel="1" x14ac:dyDescent="0.3">
      <c r="A60" s="782" t="s">
        <v>195</v>
      </c>
      <c r="I60" s="119"/>
      <c r="J60" s="119"/>
      <c r="K60" s="119"/>
      <c r="L60" s="838" t="str">
        <f>IF(gen_type_nr=2,"Peak Power","Rated power")</f>
        <v>Peak Power</v>
      </c>
      <c r="M60" s="1528">
        <f>Inputs!C110</f>
        <v>1.35</v>
      </c>
      <c r="N60" s="729">
        <f ca="1">IF(gen_type_nr=2,peak_Mpwr_ratio,1)*P/1000</f>
        <v>0.375</v>
      </c>
      <c r="O60" s="795" t="s">
        <v>503</v>
      </c>
      <c r="P60" s="648">
        <f>scaling_factor_selected</f>
        <v>0.79999999999999982</v>
      </c>
      <c r="Q60" s="729">
        <f>INDEX(CHOOSE({1;2;3},Inputs!C111,Inputs!C112,Inputs!C113), gen_type_nr)</f>
        <v>235.4</v>
      </c>
      <c r="R60" s="805">
        <f ca="1">Q60*P60^LOG(N60/M60)</f>
        <v>266.51259691228887</v>
      </c>
      <c r="S60" s="928" t="s">
        <v>497</v>
      </c>
      <c r="T60" s="715">
        <f t="shared" ref="T60:U64" si="7">IF(M60=0,Q60,M60*Q60)</f>
        <v>317.79000000000002</v>
      </c>
      <c r="U60" s="806">
        <f t="shared" ca="1" si="7"/>
        <v>99.942223842108319</v>
      </c>
      <c r="V60" s="843">
        <f t="shared" ref="V60:V65" si="8">Qo</f>
        <v>35</v>
      </c>
      <c r="W60" s="844">
        <f t="shared" ref="W60:W65" ca="1" si="9">Q</f>
        <v>15000</v>
      </c>
      <c r="X60" s="648">
        <f>experience_factor_selected</f>
        <v>0.79999999999999982</v>
      </c>
      <c r="Y60" s="806">
        <f ca="1">$U60*X60^LOG(W60/V60)</f>
        <v>55.549429731304024</v>
      </c>
      <c r="Z60" s="878">
        <f t="shared" ref="Z60:Z65" ca="1" si="10">Y60/(P/1000)/1000</f>
        <v>0.3703295315420268</v>
      </c>
      <c r="AA60" s="372">
        <f t="shared" ref="AA60:AA65" ca="1" si="11">Y60/AWES_capex</f>
        <v>0.21948566676705941</v>
      </c>
      <c r="AB60" s="743">
        <f t="shared" ref="AB60:AB65" ca="1" si="12">AA60*$Y$130/$Y$135</f>
        <v>0.15276274479157828</v>
      </c>
      <c r="AC60" s="102"/>
      <c r="AD60" s="102" t="s">
        <v>237</v>
      </c>
      <c r="AF60" s="120"/>
      <c r="AG60" s="120"/>
      <c r="AH60" s="120"/>
      <c r="AI60" s="120"/>
      <c r="AJ60" s="102"/>
      <c r="AK60" s="102"/>
      <c r="AL60" s="102"/>
      <c r="AM60" s="102"/>
    </row>
    <row r="61" spans="1:39" outlineLevel="1" x14ac:dyDescent="0.3">
      <c r="A61" s="782" t="s">
        <v>234</v>
      </c>
      <c r="C61" s="83"/>
      <c r="I61" s="119"/>
      <c r="J61" s="119"/>
      <c r="K61" s="119"/>
      <c r="L61" s="838" t="str">
        <f>IF(gen_type_nr=2,"Peak Power","Rated power")</f>
        <v>Peak Power</v>
      </c>
      <c r="M61" s="1528">
        <f>Inputs!C116</f>
        <v>1.35</v>
      </c>
      <c r="N61" s="729">
        <f ca="1">IF(gen_type_nr=2,peak_Mpwr_ratio,1)*P/1000</f>
        <v>0.375</v>
      </c>
      <c r="O61" s="795" t="s">
        <v>503</v>
      </c>
      <c r="P61" s="648">
        <f>scaling_factor_selected</f>
        <v>0.79999999999999982</v>
      </c>
      <c r="Q61" s="729">
        <f>INDEX(CHOOSE({1;2;3},Inputs!C117,Inputs!C118,Inputs!C119), gen_type_nr)</f>
        <v>27</v>
      </c>
      <c r="R61" s="805">
        <f ca="1">Q61*P61^LOG(N61/M61)</f>
        <v>30.568564641596431</v>
      </c>
      <c r="S61" s="928" t="s">
        <v>497</v>
      </c>
      <c r="T61" s="715">
        <f t="shared" si="7"/>
        <v>36.450000000000003</v>
      </c>
      <c r="U61" s="806">
        <f t="shared" ca="1" si="7"/>
        <v>11.463211740598663</v>
      </c>
      <c r="V61" s="843">
        <f t="shared" si="8"/>
        <v>35</v>
      </c>
      <c r="W61" s="844">
        <f t="shared" ca="1" si="9"/>
        <v>15000</v>
      </c>
      <c r="X61" s="648">
        <f>experience_factor_selected</f>
        <v>0.79999999999999982</v>
      </c>
      <c r="Y61" s="806">
        <f ca="1">$U61*X61^LOG(W61/V61)</f>
        <v>6.3714299182039467</v>
      </c>
      <c r="Z61" s="878">
        <f t="shared" ca="1" si="10"/>
        <v>4.2476199454692984E-2</v>
      </c>
      <c r="AA61" s="372">
        <f t="shared" ca="1" si="11"/>
        <v>2.5174651668269352E-2</v>
      </c>
      <c r="AB61" s="743">
        <f t="shared" ca="1" si="12"/>
        <v>1.7521640226731583E-2</v>
      </c>
      <c r="AC61" s="102"/>
      <c r="AD61" s="102" t="s">
        <v>236</v>
      </c>
      <c r="AJ61" s="102"/>
      <c r="AK61" s="102"/>
      <c r="AL61" s="102"/>
      <c r="AM61" s="102"/>
    </row>
    <row r="62" spans="1:39" outlineLevel="1" x14ac:dyDescent="0.3">
      <c r="A62" s="782" t="s">
        <v>196</v>
      </c>
      <c r="I62" s="119"/>
      <c r="J62" s="119"/>
      <c r="K62" s="119"/>
      <c r="L62" s="838" t="str">
        <f>IF(gen_type_nr=2,"Peak Power","Rated power")</f>
        <v>Peak Power</v>
      </c>
      <c r="M62" s="1528">
        <f>Inputs!C122</f>
        <v>1.35</v>
      </c>
      <c r="N62" s="729">
        <f ca="1">IF(gen_type_nr=2,peak_Mpwr_ratio,1)*P/1000</f>
        <v>0.375</v>
      </c>
      <c r="O62" s="795" t="s">
        <v>503</v>
      </c>
      <c r="P62" s="648">
        <f>scaling_factor_selected</f>
        <v>0.79999999999999982</v>
      </c>
      <c r="Q62" s="729">
        <f>INDEX(CHOOSE({1;2;3},Inputs!C123,Inputs!C124,Inputs!C125), gen_type_nr)</f>
        <v>98</v>
      </c>
      <c r="R62" s="805">
        <f ca="1">Q62*P62^LOG(N62/M62)</f>
        <v>110.95256795838705</v>
      </c>
      <c r="S62" s="928" t="s">
        <v>497</v>
      </c>
      <c r="T62" s="715">
        <f t="shared" si="7"/>
        <v>132.30000000000001</v>
      </c>
      <c r="U62" s="806">
        <f t="shared" ca="1" si="7"/>
        <v>41.607212984395147</v>
      </c>
      <c r="V62" s="843">
        <f t="shared" si="8"/>
        <v>35</v>
      </c>
      <c r="W62" s="844">
        <f t="shared" ca="1" si="9"/>
        <v>15000</v>
      </c>
      <c r="X62" s="648">
        <f>experience_factor_selected</f>
        <v>0.79999999999999982</v>
      </c>
      <c r="Y62" s="806">
        <f ca="1">$U62*X62^LOG(W62/V62)</f>
        <v>23.125930814221732</v>
      </c>
      <c r="Z62" s="878">
        <f t="shared" ca="1" si="10"/>
        <v>0.15417287209481156</v>
      </c>
      <c r="AA62" s="372">
        <f t="shared" ca="1" si="11"/>
        <v>9.1374661610755428E-2</v>
      </c>
      <c r="AB62" s="743">
        <f t="shared" ca="1" si="12"/>
        <v>6.3597064526655367E-2</v>
      </c>
      <c r="AC62" s="102"/>
      <c r="AD62" s="102" t="s">
        <v>233</v>
      </c>
      <c r="AF62" s="120"/>
      <c r="AG62" s="120"/>
      <c r="AH62" s="120"/>
      <c r="AI62" s="120"/>
      <c r="AJ62" s="102"/>
      <c r="AK62" s="102"/>
      <c r="AL62" s="102"/>
      <c r="AM62" s="102"/>
    </row>
    <row r="63" spans="1:39" outlineLevel="1" x14ac:dyDescent="0.3">
      <c r="A63" s="782" t="s">
        <v>197</v>
      </c>
      <c r="I63" s="119"/>
      <c r="J63" s="119"/>
      <c r="K63" s="119"/>
      <c r="L63" s="838" t="str">
        <f>IF(gen_type_nr=2,"Peak Power","Rated power")</f>
        <v>Peak Power</v>
      </c>
      <c r="M63" s="1528">
        <f>Inputs!C128</f>
        <v>1.35</v>
      </c>
      <c r="N63" s="729">
        <f ca="1">IF(gen_type_nr=2,peak_Mpwr_ratio,1)*P/1000</f>
        <v>0.375</v>
      </c>
      <c r="O63" s="795" t="s">
        <v>503</v>
      </c>
      <c r="P63" s="648">
        <f>scaling_factor_selected</f>
        <v>0.79999999999999982</v>
      </c>
      <c r="Q63" s="729">
        <f>INDEX(CHOOSE({1;2;3},Inputs!C129,Inputs!C130,Inputs!C131), gen_type_nr)</f>
        <v>4.8</v>
      </c>
      <c r="R63" s="805">
        <f ca="1">Q63*P63^LOG(N63/M63)</f>
        <v>5.4344114918393656</v>
      </c>
      <c r="S63" s="928" t="s">
        <v>497</v>
      </c>
      <c r="T63" s="715">
        <f t="shared" si="7"/>
        <v>6.48</v>
      </c>
      <c r="U63" s="806">
        <f t="shared" ca="1" si="7"/>
        <v>2.037904309439762</v>
      </c>
      <c r="V63" s="843">
        <f t="shared" si="8"/>
        <v>35</v>
      </c>
      <c r="W63" s="844">
        <f t="shared" ca="1" si="9"/>
        <v>15000</v>
      </c>
      <c r="X63" s="1552">
        <f>Inputs!C132</f>
        <v>0.4</v>
      </c>
      <c r="Y63" s="806">
        <f ca="1">$U63*X63^LOG(W63/V63)</f>
        <v>0.18272435889800159</v>
      </c>
      <c r="Z63" s="878">
        <f t="shared" ca="1" si="10"/>
        <v>1.2181623926533439E-3</v>
      </c>
      <c r="AA63" s="372">
        <f t="shared" ca="1" si="11"/>
        <v>7.21976408062216E-4</v>
      </c>
      <c r="AB63" s="743">
        <f t="shared" ca="1" si="12"/>
        <v>5.0249795075411842E-4</v>
      </c>
      <c r="AC63" s="102"/>
      <c r="AD63" s="102" t="s">
        <v>235</v>
      </c>
      <c r="AF63" s="120"/>
      <c r="AG63" s="120"/>
      <c r="AH63" s="120"/>
      <c r="AI63" s="120"/>
      <c r="AJ63" s="102"/>
      <c r="AK63" s="102"/>
      <c r="AL63" s="102"/>
      <c r="AM63" s="102"/>
    </row>
    <row r="64" spans="1:39" outlineLevel="1" x14ac:dyDescent="0.3">
      <c r="A64" s="783" t="s">
        <v>198</v>
      </c>
      <c r="C64" s="178"/>
      <c r="D64" s="176"/>
      <c r="E64" s="176"/>
      <c r="F64" s="176"/>
      <c r="G64" s="176"/>
      <c r="H64" s="176"/>
      <c r="I64" s="178"/>
      <c r="J64" s="178"/>
      <c r="K64" s="178"/>
      <c r="L64" s="853" t="s">
        <v>670</v>
      </c>
      <c r="M64" s="1529">
        <f>Inputs!C135</f>
        <v>337.5</v>
      </c>
      <c r="N64" s="706">
        <f ca="1">Tmax_t</f>
        <v>42.000000000000007</v>
      </c>
      <c r="O64" s="896" t="s">
        <v>535</v>
      </c>
      <c r="P64" s="652">
        <f>scaling_factor_selected</f>
        <v>0.79999999999999982</v>
      </c>
      <c r="Q64" s="1533">
        <f>Inputs!C139</f>
        <v>0.5</v>
      </c>
      <c r="R64" s="848">
        <f ca="1">Q64*P64^LOG(N64/M64)</f>
        <v>0.61189363991856027</v>
      </c>
      <c r="S64" s="929" t="s">
        <v>487</v>
      </c>
      <c r="T64" s="725">
        <f t="shared" si="7"/>
        <v>168.75</v>
      </c>
      <c r="U64" s="849">
        <f t="shared" ca="1" si="7"/>
        <v>25.699532876579536</v>
      </c>
      <c r="V64" s="850">
        <f t="shared" si="8"/>
        <v>35</v>
      </c>
      <c r="W64" s="1009">
        <f t="shared" ca="1" si="9"/>
        <v>15000</v>
      </c>
      <c r="X64" s="652">
        <f>experience_factor_selected</f>
        <v>0.79999999999999982</v>
      </c>
      <c r="Y64" s="849">
        <f ca="1">$U64*X64^LOG(W64/V64)</f>
        <v>14.284196816655275</v>
      </c>
      <c r="Z64" s="879">
        <f t="shared" ca="1" si="10"/>
        <v>9.5227978777701838E-2</v>
      </c>
      <c r="AA64" s="373">
        <f t="shared" ca="1" si="11"/>
        <v>5.6439399606810187E-2</v>
      </c>
      <c r="AB64" s="759">
        <f t="shared" ca="1" si="12"/>
        <v>3.9282007455527478E-2</v>
      </c>
      <c r="AC64" s="102"/>
      <c r="AD64" s="102" t="s">
        <v>248</v>
      </c>
      <c r="AF64" s="120"/>
      <c r="AG64" s="120"/>
      <c r="AH64" s="120"/>
      <c r="AI64" s="120"/>
      <c r="AJ64" s="102"/>
      <c r="AK64" s="102"/>
      <c r="AL64" s="102"/>
      <c r="AM64" s="102"/>
    </row>
    <row r="65" spans="1:39" s="84" customFormat="1" x14ac:dyDescent="0.3">
      <c r="A65" s="199" t="s">
        <v>194</v>
      </c>
      <c r="B65" s="656"/>
      <c r="C65" s="656"/>
      <c r="D65" s="199"/>
      <c r="E65" s="199"/>
      <c r="F65" s="199"/>
      <c r="G65" s="199"/>
      <c r="H65" s="199"/>
      <c r="I65" s="199"/>
      <c r="J65" s="199"/>
      <c r="K65" s="199"/>
      <c r="L65" s="839"/>
      <c r="M65" s="785"/>
      <c r="N65" s="785"/>
      <c r="O65" s="785"/>
      <c r="P65" s="379"/>
      <c r="Q65" s="816"/>
      <c r="R65" s="656"/>
      <c r="S65" s="930"/>
      <c r="T65" s="656">
        <f>SUM(T60:T64)</f>
        <v>661.77</v>
      </c>
      <c r="U65" s="817">
        <f ca="1">SUM(U60:U64)</f>
        <v>180.75008575312143</v>
      </c>
      <c r="V65" s="852">
        <f t="shared" si="8"/>
        <v>35</v>
      </c>
      <c r="W65" s="1013">
        <f t="shared" ca="1" si="9"/>
        <v>15000</v>
      </c>
      <c r="X65" s="651">
        <f ca="1">IFERROR(10^(LOG(Y65/U65)/LOG(W65/V65)),)</f>
        <v>0.79711742332444391</v>
      </c>
      <c r="Y65" s="817">
        <f ca="1">SUM(Y60:Y64)</f>
        <v>99.513711639282974</v>
      </c>
      <c r="Z65" s="882">
        <f t="shared" ca="1" si="10"/>
        <v>0.66342474426188658</v>
      </c>
      <c r="AA65" s="379">
        <f t="shared" ca="1" si="11"/>
        <v>0.3931963560609566</v>
      </c>
      <c r="AB65" s="762">
        <f t="shared" ca="1" si="12"/>
        <v>0.27366595495124685</v>
      </c>
      <c r="AC65" s="102"/>
      <c r="AD65" s="199"/>
    </row>
    <row r="66" spans="1:39" outlineLevel="1" x14ac:dyDescent="0.3">
      <c r="A66" s="694"/>
      <c r="L66" s="833"/>
      <c r="P66" s="212"/>
      <c r="Q66" s="212"/>
      <c r="R66" s="794">
        <f>12926*0.064</f>
        <v>827.26400000000001</v>
      </c>
      <c r="S66" s="924"/>
      <c r="T66" s="795"/>
      <c r="U66" s="764"/>
      <c r="V66" s="752"/>
      <c r="W66" s="214"/>
      <c r="X66" s="212"/>
      <c r="Y66" s="796"/>
      <c r="Z66" s="876">
        <f ca="1">1000*Y66/(P/1000)</f>
        <v>0</v>
      </c>
      <c r="AA66" s="378"/>
      <c r="AB66" s="757"/>
      <c r="AC66" s="102"/>
      <c r="AD66" s="102"/>
      <c r="AF66" s="120"/>
      <c r="AG66" s="120"/>
      <c r="AH66" s="120"/>
      <c r="AI66" s="120"/>
      <c r="AJ66" s="102"/>
      <c r="AK66" s="102"/>
      <c r="AL66" s="102"/>
      <c r="AM66" s="102"/>
    </row>
    <row r="67" spans="1:39" outlineLevel="1" x14ac:dyDescent="0.3">
      <c r="A67" s="782" t="s">
        <v>201</v>
      </c>
      <c r="L67" s="833"/>
      <c r="P67" s="212"/>
      <c r="Q67" s="212"/>
      <c r="S67" s="924"/>
      <c r="T67" s="1532">
        <f>Inputs!C146</f>
        <v>20</v>
      </c>
      <c r="U67" s="810">
        <f>$T$67</f>
        <v>20</v>
      </c>
      <c r="V67" s="843">
        <f>Qo</f>
        <v>35</v>
      </c>
      <c r="W67" s="844">
        <f ca="1">Q</f>
        <v>15000</v>
      </c>
      <c r="X67" s="1536">
        <f>Inputs!C147</f>
        <v>0.4</v>
      </c>
      <c r="Y67" s="806">
        <f ca="1">$U67*X67^LOG(W67/V67)</f>
        <v>1.7932574954732212</v>
      </c>
      <c r="Z67" s="878">
        <f ca="1">Y67/(P/1000)/1000</f>
        <v>1.1955049969821475E-2</v>
      </c>
      <c r="AA67" s="372">
        <f ca="1">Y67/AWES_capex</f>
        <v>7.0854789866035828E-3</v>
      </c>
      <c r="AB67" s="743">
        <f ca="1">AA67*$Y$130/$Y$135</f>
        <v>4.9315166411543591E-3</v>
      </c>
      <c r="AC67" s="102"/>
      <c r="AD67" s="102"/>
      <c r="AF67" s="120"/>
      <c r="AG67" s="120"/>
      <c r="AH67" s="120"/>
      <c r="AI67" s="120"/>
      <c r="AJ67" s="102"/>
      <c r="AK67" s="102"/>
      <c r="AL67" s="102"/>
      <c r="AM67" s="102"/>
    </row>
    <row r="68" spans="1:39" outlineLevel="1" x14ac:dyDescent="0.3">
      <c r="A68" s="782" t="s">
        <v>200</v>
      </c>
      <c r="L68" s="833"/>
      <c r="M68" s="1532">
        <f>Inputs!C150</f>
        <v>2923.7145918955998</v>
      </c>
      <c r="N68" s="122">
        <f ca="1">Mp_t</f>
        <v>454.72055909502228</v>
      </c>
      <c r="O68" s="119" t="s">
        <v>173</v>
      </c>
      <c r="P68" s="648">
        <f>scaling_factor_selected</f>
        <v>0.79999999999999982</v>
      </c>
      <c r="Q68" s="1530">
        <f>Inputs!C151</f>
        <v>0.03</v>
      </c>
      <c r="R68" s="805">
        <f ca="1">Q68*P68^LOG(N68/M68)</f>
        <v>3.592882342638834E-2</v>
      </c>
      <c r="S68" s="924" t="s">
        <v>486</v>
      </c>
      <c r="T68" s="715">
        <f>IF(M68=0,Q68,M68*Q68)</f>
        <v>87.711437756867994</v>
      </c>
      <c r="U68" s="806">
        <f ca="1">IF(N68=0,R68,N68*R68)</f>
        <v>16.33757467607364</v>
      </c>
      <c r="V68" s="843">
        <f>Qo</f>
        <v>35</v>
      </c>
      <c r="W68" s="844">
        <f ca="1">Q</f>
        <v>15000</v>
      </c>
      <c r="X68" s="1536">
        <f>Inputs!C152</f>
        <v>0.65</v>
      </c>
      <c r="Y68" s="806">
        <f ca="1">$U68*X68^LOG(W68/V68)</f>
        <v>5.2574021353339031</v>
      </c>
      <c r="Z68" s="878">
        <f ca="1">Y68/(P/1000)/1000</f>
        <v>3.5049347568892691E-2</v>
      </c>
      <c r="AA68" s="372">
        <f ca="1">Y68/AWES_capex</f>
        <v>2.0772929960180084E-2</v>
      </c>
      <c r="AB68" s="743">
        <f ca="1">AA68*$Y$130/$Y$135</f>
        <v>1.4458027464035642E-2</v>
      </c>
      <c r="AC68" s="102"/>
      <c r="AD68" s="102" t="s">
        <v>238</v>
      </c>
      <c r="AF68" s="120"/>
      <c r="AG68" s="120"/>
      <c r="AH68" s="120"/>
      <c r="AI68" s="120"/>
      <c r="AJ68" s="102"/>
      <c r="AK68" s="102"/>
      <c r="AL68" s="102"/>
      <c r="AM68" s="102"/>
    </row>
    <row r="69" spans="1:39" outlineLevel="1" x14ac:dyDescent="0.3">
      <c r="A69" s="783" t="s">
        <v>198</v>
      </c>
      <c r="B69" s="178"/>
      <c r="C69" s="178"/>
      <c r="D69" s="176"/>
      <c r="E69" s="176"/>
      <c r="F69" s="176"/>
      <c r="G69" s="176"/>
      <c r="H69" s="176"/>
      <c r="I69" s="176"/>
      <c r="J69" s="176"/>
      <c r="K69" s="176"/>
      <c r="L69" s="835"/>
      <c r="M69" s="1529">
        <f>Inputs!C155</f>
        <v>3923.7145918955998</v>
      </c>
      <c r="N69" s="215">
        <f ca="1">Mp_t+1000</f>
        <v>1454.7205590950223</v>
      </c>
      <c r="O69" s="178" t="s">
        <v>173</v>
      </c>
      <c r="P69" s="652">
        <f>scaling_factor_selected</f>
        <v>0.79999999999999982</v>
      </c>
      <c r="Q69" s="1531">
        <f>Inputs!C156</f>
        <v>7.1999999999999995E-2</v>
      </c>
      <c r="R69" s="848">
        <f ca="1">Q69*P69^LOG(N69/M69)</f>
        <v>7.9267059751205182E-2</v>
      </c>
      <c r="S69" s="823" t="s">
        <v>486</v>
      </c>
      <c r="T69" s="725">
        <f>IF(M69=0,Q69,M69*Q69)</f>
        <v>282.50745061648314</v>
      </c>
      <c r="U69" s="849">
        <f ca="1">IF(N69=0,R69,N69*R69)</f>
        <v>115.31142147909173</v>
      </c>
      <c r="V69" s="850">
        <f>Qo</f>
        <v>35</v>
      </c>
      <c r="W69" s="1009">
        <f ca="1">Q</f>
        <v>15000</v>
      </c>
      <c r="X69" s="652">
        <f>experience_factor_selected</f>
        <v>0.79999999999999982</v>
      </c>
      <c r="Y69" s="849">
        <f ca="1">$U69*X69^LOG(W69/V69)</f>
        <v>64.091866864891472</v>
      </c>
      <c r="Z69" s="879">
        <f ca="1">Y69/(P/1000)/1000</f>
        <v>0.42727911243260985</v>
      </c>
      <c r="AA69" s="373">
        <f ca="1">Y69/AWES_capex</f>
        <v>0.25323835368302489</v>
      </c>
      <c r="AB69" s="759">
        <f ca="1">AA69*$Y$130/$Y$135</f>
        <v>0.17625472571826861</v>
      </c>
      <c r="AC69" s="102"/>
      <c r="AD69" s="102" t="s">
        <v>240</v>
      </c>
      <c r="AF69" s="120"/>
      <c r="AG69" s="120"/>
      <c r="AH69" s="120"/>
      <c r="AI69" s="120"/>
      <c r="AJ69" s="102"/>
      <c r="AK69" s="102"/>
      <c r="AL69" s="102"/>
      <c r="AM69" s="102"/>
    </row>
    <row r="70" spans="1:39" s="84" customFormat="1" x14ac:dyDescent="0.3">
      <c r="A70" s="199" t="s">
        <v>199</v>
      </c>
      <c r="B70" s="656"/>
      <c r="C70" s="656"/>
      <c r="D70" s="199"/>
      <c r="E70" s="199"/>
      <c r="F70" s="199"/>
      <c r="G70" s="199"/>
      <c r="H70" s="199"/>
      <c r="I70" s="199"/>
      <c r="J70" s="199"/>
      <c r="K70" s="199"/>
      <c r="L70" s="839"/>
      <c r="M70" s="656"/>
      <c r="N70" s="656"/>
      <c r="O70" s="785"/>
      <c r="P70" s="379"/>
      <c r="Q70" s="816"/>
      <c r="R70" s="656"/>
      <c r="S70" s="927"/>
      <c r="T70" s="656">
        <f>SUM(T68:T69)</f>
        <v>370.21888837335115</v>
      </c>
      <c r="U70" s="817">
        <f ca="1">SUM(U68:U69)</f>
        <v>131.64899615516538</v>
      </c>
      <c r="V70" s="852">
        <f>Qo</f>
        <v>35</v>
      </c>
      <c r="W70" s="1013">
        <f ca="1">Q</f>
        <v>15000</v>
      </c>
      <c r="X70" s="651">
        <f ca="1">IFERROR(10^(LOG(Y70/U70)/LOG(W70/V70)),)</f>
        <v>0.78385386298108561</v>
      </c>
      <c r="Y70" s="817">
        <f ca="1">SUM(Y68:Y69)</f>
        <v>69.349269000225377</v>
      </c>
      <c r="Z70" s="882">
        <f ca="1">Y70/(P/1000)/1000</f>
        <v>0.46232846000150257</v>
      </c>
      <c r="AA70" s="379">
        <f ca="1">Y70/AWES_capex</f>
        <v>0.27401128364320498</v>
      </c>
      <c r="AB70" s="762">
        <f ca="1">AA70*$Y$130/$Y$135</f>
        <v>0.19071275318230427</v>
      </c>
      <c r="AC70" s="102"/>
      <c r="AD70" s="199"/>
    </row>
    <row r="71" spans="1:39" outlineLevel="1" x14ac:dyDescent="0.3">
      <c r="A71" s="694"/>
      <c r="L71" s="833"/>
      <c r="P71" s="212"/>
      <c r="Q71" s="212"/>
      <c r="S71" s="924"/>
      <c r="U71" s="764"/>
      <c r="W71" s="214"/>
      <c r="X71" s="212"/>
      <c r="Y71" s="764"/>
      <c r="Z71" s="883"/>
      <c r="AA71" s="119"/>
      <c r="AB71" s="764"/>
      <c r="AC71" s="102"/>
      <c r="AD71" s="102"/>
      <c r="AJ71" s="102"/>
      <c r="AK71" s="102"/>
      <c r="AL71" s="102"/>
      <c r="AM71" s="102"/>
    </row>
    <row r="72" spans="1:39" ht="15.75" thickBot="1" x14ac:dyDescent="0.35">
      <c r="A72" s="694"/>
      <c r="L72" s="833"/>
      <c r="P72" s="212"/>
      <c r="Q72" s="212" t="s">
        <v>528</v>
      </c>
      <c r="R72" s="119" t="s">
        <v>528</v>
      </c>
      <c r="S72" s="924"/>
      <c r="T72" s="119" t="s">
        <v>305</v>
      </c>
      <c r="U72" s="764" t="s">
        <v>305</v>
      </c>
      <c r="W72" s="214"/>
      <c r="X72" s="212"/>
      <c r="Y72" s="764" t="s">
        <v>305</v>
      </c>
      <c r="Z72" s="883" t="s">
        <v>528</v>
      </c>
      <c r="AA72" s="369"/>
      <c r="AB72" s="763" t="s">
        <v>527</v>
      </c>
      <c r="AC72" s="102"/>
      <c r="AD72" s="102"/>
      <c r="AF72" s="120"/>
      <c r="AG72" s="120"/>
      <c r="AH72" s="120"/>
      <c r="AI72" s="120"/>
      <c r="AJ72" s="102"/>
      <c r="AK72" s="102"/>
      <c r="AL72" s="102"/>
      <c r="AM72" s="102"/>
    </row>
    <row r="73" spans="1:39" s="194" customFormat="1" ht="16.899999999999999" customHeight="1" thickBot="1" x14ac:dyDescent="0.35">
      <c r="A73" s="854" t="s">
        <v>644</v>
      </c>
      <c r="B73" s="856"/>
      <c r="C73" s="857"/>
      <c r="D73" s="855"/>
      <c r="E73" s="855"/>
      <c r="F73" s="855"/>
      <c r="G73" s="855"/>
      <c r="H73" s="855"/>
      <c r="I73" s="858"/>
      <c r="J73" s="858"/>
      <c r="K73" s="858"/>
      <c r="L73" s="859"/>
      <c r="M73" s="860">
        <f>M63</f>
        <v>1.35</v>
      </c>
      <c r="N73" s="860">
        <f ca="1">N63</f>
        <v>0.375</v>
      </c>
      <c r="O73" s="865" t="s">
        <v>503</v>
      </c>
      <c r="P73" s="862"/>
      <c r="Q73" s="863">
        <f ca="1">T73/M73/1000</f>
        <v>1.5062627295268842</v>
      </c>
      <c r="R73" s="864">
        <f ca="1">U73/N73/1000</f>
        <v>1.5983182376582763</v>
      </c>
      <c r="S73" s="931"/>
      <c r="T73" s="865">
        <f ca="1">T70+T65+T56+T52</f>
        <v>2033.4546848612938</v>
      </c>
      <c r="U73" s="866">
        <f ca="1">U70+U65+U56+U52</f>
        <v>599.36933912185361</v>
      </c>
      <c r="V73" s="865">
        <f>Qo</f>
        <v>35</v>
      </c>
      <c r="W73" s="1014">
        <f ca="1">Q</f>
        <v>15000</v>
      </c>
      <c r="X73" s="862">
        <f ca="1">IFERROR(10^(LOG(Y73/U73)/LOG(W73/V73)),)</f>
        <v>0.72068254675387011</v>
      </c>
      <c r="Y73" s="818">
        <f ca="1">Y70+Y65+Y56+Y52</f>
        <v>253.08909939098095</v>
      </c>
      <c r="Z73" s="819">
        <f ca="1">Y73/(P/1000)/1000</f>
        <v>1.6872606626065396</v>
      </c>
      <c r="AA73" s="867">
        <f ca="1">Y73/AWES_capex</f>
        <v>1</v>
      </c>
      <c r="AB73" s="872">
        <f ca="1">AA73*$Y$130/$Y$135</f>
        <v>0.69600328368460473</v>
      </c>
      <c r="AC73" s="102"/>
      <c r="AD73" s="102"/>
      <c r="AE73" s="102"/>
      <c r="AF73" s="205"/>
      <c r="AG73" s="205"/>
      <c r="AH73" s="205"/>
      <c r="AI73" s="205"/>
    </row>
    <row r="74" spans="1:39" x14ac:dyDescent="0.3">
      <c r="B74" s="102"/>
      <c r="C74" s="102"/>
      <c r="Q74" s="119"/>
      <c r="S74" s="820"/>
      <c r="X74" s="119"/>
      <c r="Y74" s="897" t="s">
        <v>728</v>
      </c>
      <c r="AA74" s="369"/>
      <c r="AB74" s="369"/>
      <c r="AC74" s="102"/>
      <c r="AD74" s="102"/>
      <c r="AF74" s="120"/>
      <c r="AG74" s="120"/>
      <c r="AH74" s="120"/>
      <c r="AI74" s="120"/>
      <c r="AJ74" s="102"/>
      <c r="AK74" s="102"/>
      <c r="AL74" s="102"/>
      <c r="AM74" s="102"/>
    </row>
    <row r="75" spans="1:39" ht="15.75" thickBot="1" x14ac:dyDescent="0.35">
      <c r="B75" s="102"/>
      <c r="C75" s="102"/>
      <c r="Q75" s="119"/>
      <c r="S75" s="820"/>
      <c r="X75" s="119"/>
      <c r="Y75" s="119"/>
      <c r="AA75" s="369"/>
      <c r="AB75" s="369"/>
      <c r="AC75" s="102"/>
      <c r="AD75" s="102"/>
      <c r="AF75" s="120"/>
      <c r="AG75" s="120"/>
      <c r="AH75" s="120"/>
      <c r="AI75" s="120"/>
      <c r="AJ75" s="102"/>
      <c r="AK75" s="102"/>
      <c r="AL75" s="102"/>
      <c r="AM75" s="102"/>
    </row>
    <row r="76" spans="1:39" ht="35.450000000000003" customHeight="1" outlineLevel="1" collapsed="1" thickBot="1" x14ac:dyDescent="0.35">
      <c r="A76" s="935" t="s">
        <v>798</v>
      </c>
      <c r="B76" s="936"/>
      <c r="C76" s="936"/>
      <c r="D76" s="688" t="s">
        <v>970</v>
      </c>
      <c r="E76" s="689"/>
      <c r="F76" s="689"/>
      <c r="G76" s="689"/>
      <c r="H76" s="689"/>
      <c r="I76" s="689"/>
      <c r="J76" s="689"/>
      <c r="K76" s="690"/>
      <c r="L76" s="688" t="s">
        <v>951</v>
      </c>
      <c r="M76" s="689"/>
      <c r="N76" s="689"/>
      <c r="O76" s="689"/>
      <c r="P76" s="689"/>
      <c r="Q76" s="731"/>
      <c r="R76" s="689"/>
      <c r="S76" s="689"/>
      <c r="T76" s="732"/>
      <c r="U76" s="690"/>
      <c r="V76" s="1993" t="s">
        <v>949</v>
      </c>
      <c r="W76" s="1991"/>
      <c r="X76" s="1991"/>
      <c r="Y76" s="1992"/>
      <c r="Z76" s="892" t="s">
        <v>470</v>
      </c>
      <c r="AA76" s="873"/>
      <c r="AB76" s="767"/>
      <c r="AC76" s="102"/>
      <c r="AD76" s="84"/>
      <c r="AE76" s="84"/>
      <c r="AF76" s="84"/>
      <c r="AJ76" s="102"/>
      <c r="AK76" s="102"/>
      <c r="AL76" s="491"/>
      <c r="AM76" s="102"/>
    </row>
    <row r="77" spans="1:39" ht="25.5" customHeight="1" outlineLevel="1" x14ac:dyDescent="0.3">
      <c r="A77" s="776"/>
      <c r="B77" s="776"/>
      <c r="C77" s="776"/>
      <c r="D77" s="691" t="s">
        <v>483</v>
      </c>
      <c r="E77" s="31" t="s">
        <v>919</v>
      </c>
      <c r="F77" s="31" t="s">
        <v>920</v>
      </c>
      <c r="G77" s="179" t="s">
        <v>281</v>
      </c>
      <c r="H77" s="701" t="s">
        <v>307</v>
      </c>
      <c r="I77" s="31" t="s">
        <v>918</v>
      </c>
      <c r="J77" s="31" t="s">
        <v>921</v>
      </c>
      <c r="K77" s="697" t="s">
        <v>281</v>
      </c>
      <c r="L77" s="840" t="s">
        <v>483</v>
      </c>
      <c r="M77" s="31" t="s">
        <v>919</v>
      </c>
      <c r="N77" s="31" t="s">
        <v>920</v>
      </c>
      <c r="O77" s="31" t="s">
        <v>281</v>
      </c>
      <c r="P77" s="568" t="s">
        <v>307</v>
      </c>
      <c r="Q77" s="501" t="s">
        <v>922</v>
      </c>
      <c r="R77" s="31" t="s">
        <v>923</v>
      </c>
      <c r="S77" s="343" t="s">
        <v>281</v>
      </c>
      <c r="T77" s="501" t="s">
        <v>933</v>
      </c>
      <c r="U77" s="1089" t="s">
        <v>934</v>
      </c>
      <c r="V77" s="559" t="s">
        <v>943</v>
      </c>
      <c r="W77" s="461" t="s">
        <v>944</v>
      </c>
      <c r="X77" s="777" t="s">
        <v>512</v>
      </c>
      <c r="Y77" s="742" t="s">
        <v>498</v>
      </c>
      <c r="Z77" s="908" t="s">
        <v>498</v>
      </c>
      <c r="AA77" s="888" t="s">
        <v>939</v>
      </c>
      <c r="AB77" s="909" t="s">
        <v>653</v>
      </c>
      <c r="AC77" s="102"/>
      <c r="AD77" s="84"/>
      <c r="AE77" s="84"/>
      <c r="AF77" s="84"/>
      <c r="AJ77" s="102"/>
      <c r="AK77" s="102"/>
      <c r="AL77" s="491"/>
    </row>
    <row r="78" spans="1:39" outlineLevel="1" x14ac:dyDescent="0.3">
      <c r="A78" s="176"/>
      <c r="B78" s="176"/>
      <c r="C78" s="176"/>
      <c r="D78" s="692"/>
      <c r="E78" s="227" t="s">
        <v>499</v>
      </c>
      <c r="F78" s="227" t="s">
        <v>6</v>
      </c>
      <c r="G78" s="227" t="s">
        <v>392</v>
      </c>
      <c r="H78" s="368" t="s">
        <v>404</v>
      </c>
      <c r="I78" s="227" t="s">
        <v>924</v>
      </c>
      <c r="J78" s="227" t="s">
        <v>125</v>
      </c>
      <c r="K78" s="693" t="s">
        <v>917</v>
      </c>
      <c r="L78" s="832"/>
      <c r="M78" s="227" t="s">
        <v>499</v>
      </c>
      <c r="N78" s="227" t="s">
        <v>925</v>
      </c>
      <c r="O78" s="227" t="s">
        <v>392</v>
      </c>
      <c r="P78" s="701" t="s">
        <v>404</v>
      </c>
      <c r="Q78" s="791" t="s">
        <v>462</v>
      </c>
      <c r="R78" s="42" t="s">
        <v>926</v>
      </c>
      <c r="S78" s="933" t="s">
        <v>500</v>
      </c>
      <c r="T78" s="207" t="s">
        <v>929</v>
      </c>
      <c r="U78" s="734" t="s">
        <v>930</v>
      </c>
      <c r="V78" s="42" t="s">
        <v>666</v>
      </c>
      <c r="W78" s="209" t="s">
        <v>666</v>
      </c>
      <c r="X78" s="42" t="s">
        <v>395</v>
      </c>
      <c r="Y78" s="693" t="s">
        <v>305</v>
      </c>
      <c r="Z78" s="910" t="s">
        <v>528</v>
      </c>
      <c r="AA78" s="889" t="s">
        <v>415</v>
      </c>
      <c r="AB78" s="911" t="s">
        <v>415</v>
      </c>
      <c r="AC78" s="102"/>
      <c r="AD78" s="180" t="s">
        <v>218</v>
      </c>
      <c r="AE78" s="84"/>
      <c r="AF78" s="84"/>
      <c r="AJ78" s="102"/>
      <c r="AK78" s="102"/>
      <c r="AL78" s="491"/>
    </row>
    <row r="79" spans="1:39" outlineLevel="1" x14ac:dyDescent="0.3">
      <c r="A79" s="123" t="s">
        <v>530</v>
      </c>
      <c r="B79" s="123"/>
      <c r="C79" s="123"/>
      <c r="D79" s="752"/>
      <c r="E79" s="119"/>
      <c r="H79" s="211"/>
      <c r="K79" s="695"/>
      <c r="L79" s="833" t="s">
        <v>523</v>
      </c>
      <c r="M79" s="1532">
        <f>Inputs!C161</f>
        <v>11.923711750577475</v>
      </c>
      <c r="N79" s="122">
        <f ca="1">4*N82^0.5</f>
        <v>19.827759456068911</v>
      </c>
      <c r="O79" s="102" t="s">
        <v>519</v>
      </c>
      <c r="P79" s="1555">
        <f>Inputs!C162</f>
        <v>0.47574149237192276</v>
      </c>
      <c r="Q79" s="1556">
        <f>Inputs!C163</f>
        <v>10</v>
      </c>
      <c r="R79" s="122">
        <f t="shared" ref="R79:R88" ca="1" si="13">Q79*P79^LOG(N79/M79)</f>
        <v>8.4867901719030652</v>
      </c>
      <c r="S79" s="924" t="s">
        <v>521</v>
      </c>
      <c r="T79" s="902">
        <f>IF(M79=0,Q79,M79*Q79)</f>
        <v>119.23711750577475</v>
      </c>
      <c r="U79" s="806">
        <f ca="1">IF(N79=0,R79,N79*R79)</f>
        <v>168.2740340826237</v>
      </c>
      <c r="V79" s="707">
        <f t="shared" ref="V79:V88" si="14">Qo</f>
        <v>35</v>
      </c>
      <c r="W79" s="845">
        <f t="shared" ref="W79:W88" ca="1" si="15">Q</f>
        <v>15000</v>
      </c>
      <c r="X79" s="730">
        <f t="shared" ref="X79:X85" si="16">experience_factor_selected</f>
        <v>0.79999999999999982</v>
      </c>
      <c r="Y79" s="814">
        <f t="shared" ref="Y79:Y88" ca="1" si="17">$U79*X79^LOG(W79/V79)</f>
        <v>93.529303957086881</v>
      </c>
      <c r="Z79" s="912">
        <f t="shared" ref="Z79:Z88" ca="1" si="18">Y79/Pp/1000</f>
        <v>2.0784289768241527E-2</v>
      </c>
      <c r="AA79" s="891">
        <f t="shared" ref="AA79:AA88" ca="1" si="19">Y79/$Y$94</f>
        <v>2.8203006227910804E-2</v>
      </c>
      <c r="AB79" s="890">
        <f t="shared" ref="AB79:AB94" ca="1" si="20">Y79/($Y$130*1000+$Y$94)</f>
        <v>8.5736212835075248E-3</v>
      </c>
      <c r="AC79" s="102"/>
      <c r="AD79" s="84" t="s">
        <v>245</v>
      </c>
      <c r="AE79" s="84"/>
      <c r="AF79" s="84"/>
      <c r="AJ79" s="102"/>
      <c r="AK79" s="102"/>
      <c r="AL79" s="491"/>
    </row>
    <row r="80" spans="1:39" outlineLevel="1" x14ac:dyDescent="0.3">
      <c r="A80" s="123" t="s">
        <v>529</v>
      </c>
      <c r="D80" s="752"/>
      <c r="E80" s="119"/>
      <c r="H80" s="211"/>
      <c r="K80" s="695"/>
      <c r="L80" s="833" t="s">
        <v>502</v>
      </c>
      <c r="M80" s="1532">
        <f>Inputs!C166</f>
        <v>40.5</v>
      </c>
      <c r="N80" s="450">
        <f ca="1">Pp</f>
        <v>4.5</v>
      </c>
      <c r="O80" s="102" t="s">
        <v>503</v>
      </c>
      <c r="P80" s="1555">
        <f>Inputs!C167</f>
        <v>0.57840701282046381</v>
      </c>
      <c r="Q80" s="1556">
        <f>Inputs!C168</f>
        <v>40</v>
      </c>
      <c r="R80" s="122">
        <f t="shared" ca="1" si="13"/>
        <v>67.444547519375689</v>
      </c>
      <c r="S80" s="924" t="s">
        <v>497</v>
      </c>
      <c r="T80" s="902">
        <f t="shared" ref="T80:T85" si="21">IF(M80=0,Q80,M80*Q80)</f>
        <v>1620</v>
      </c>
      <c r="U80" s="806">
        <f t="shared" ref="U80:U85" ca="1" si="22">IF(N80=0,R80,N80*R80)</f>
        <v>303.50046383719058</v>
      </c>
      <c r="V80" s="450">
        <f t="shared" si="14"/>
        <v>35</v>
      </c>
      <c r="W80" s="844">
        <f t="shared" ca="1" si="15"/>
        <v>15000</v>
      </c>
      <c r="X80" s="722">
        <f t="shared" si="16"/>
        <v>0.79999999999999982</v>
      </c>
      <c r="Y80" s="806">
        <f t="shared" ca="1" si="17"/>
        <v>168.69023963261998</v>
      </c>
      <c r="Z80" s="912">
        <f t="shared" ca="1" si="18"/>
        <v>3.7486719918359994E-2</v>
      </c>
      <c r="AA80" s="891">
        <f t="shared" ca="1" si="19"/>
        <v>5.0867179350863302E-2</v>
      </c>
      <c r="AB80" s="890">
        <f t="shared" ca="1" si="20"/>
        <v>1.5463455490888721E-2</v>
      </c>
      <c r="AC80" s="102"/>
      <c r="AD80" s="84" t="s">
        <v>279</v>
      </c>
      <c r="AE80" s="84"/>
      <c r="AF80" s="84"/>
      <c r="AJ80" s="102"/>
      <c r="AK80" s="102"/>
      <c r="AL80" s="491"/>
    </row>
    <row r="81" spans="1:39" outlineLevel="1" x14ac:dyDescent="0.3">
      <c r="A81" s="123" t="s">
        <v>202</v>
      </c>
      <c r="D81" s="752"/>
      <c r="E81" s="119"/>
      <c r="H81" s="211"/>
      <c r="K81" s="695"/>
      <c r="L81" s="833" t="s">
        <v>502</v>
      </c>
      <c r="M81" s="1532">
        <f>Inputs!C171</f>
        <v>40.5</v>
      </c>
      <c r="N81" s="450">
        <f ca="1">Pp</f>
        <v>4.5</v>
      </c>
      <c r="O81" s="102" t="s">
        <v>503</v>
      </c>
      <c r="P81" s="703">
        <f>scaling_factor_selected</f>
        <v>0.79999999999999982</v>
      </c>
      <c r="Q81" s="1556">
        <f>Inputs!C172</f>
        <v>10</v>
      </c>
      <c r="R81" s="122">
        <f t="shared" ca="1" si="13"/>
        <v>12.373018264213048</v>
      </c>
      <c r="S81" s="924" t="s">
        <v>497</v>
      </c>
      <c r="T81" s="902">
        <f t="shared" si="21"/>
        <v>405</v>
      </c>
      <c r="U81" s="806">
        <f t="shared" ca="1" si="22"/>
        <v>55.678582188958714</v>
      </c>
      <c r="V81" s="450">
        <f t="shared" si="14"/>
        <v>35</v>
      </c>
      <c r="W81" s="844">
        <f t="shared" ca="1" si="15"/>
        <v>15000</v>
      </c>
      <c r="X81" s="722">
        <f t="shared" si="16"/>
        <v>0.79999999999999982</v>
      </c>
      <c r="Y81" s="806">
        <f t="shared" ca="1" si="17"/>
        <v>30.947014884624483</v>
      </c>
      <c r="Z81" s="912">
        <f t="shared" ca="1" si="18"/>
        <v>6.877114418805441E-3</v>
      </c>
      <c r="AA81" s="891">
        <f t="shared" ca="1" si="19"/>
        <v>9.3318223978954267E-3</v>
      </c>
      <c r="AB81" s="890">
        <f t="shared" ca="1" si="20"/>
        <v>2.8368433661986672E-3</v>
      </c>
      <c r="AC81" s="102"/>
      <c r="AD81" s="84" t="s">
        <v>955</v>
      </c>
      <c r="AE81" s="84"/>
      <c r="AF81" s="84"/>
      <c r="AJ81" s="102"/>
      <c r="AK81" s="102"/>
      <c r="AL81" s="491"/>
    </row>
    <row r="82" spans="1:39" outlineLevel="1" x14ac:dyDescent="0.3">
      <c r="A82" s="123" t="s">
        <v>203</v>
      </c>
      <c r="D82" s="752"/>
      <c r="E82" s="119"/>
      <c r="H82" s="211"/>
      <c r="K82" s="695"/>
      <c r="L82" s="833" t="s">
        <v>526</v>
      </c>
      <c r="M82" s="1532">
        <f>Inputs!C175</f>
        <v>8.8859313694287092</v>
      </c>
      <c r="N82" s="715">
        <f ca="1">1.25*N/Scenarios!D100*L^2/1000000</f>
        <v>24.571252815483131</v>
      </c>
      <c r="O82" s="102" t="s">
        <v>599</v>
      </c>
      <c r="P82" s="1555">
        <f>Inputs!C176</f>
        <v>0.17818811423027156</v>
      </c>
      <c r="Q82" s="1556">
        <f>Inputs!C177</f>
        <v>10</v>
      </c>
      <c r="R82" s="122">
        <f t="shared" ca="1" si="13"/>
        <v>4.6676136136397828</v>
      </c>
      <c r="S82" s="924" t="s">
        <v>520</v>
      </c>
      <c r="T82" s="902">
        <f t="shared" si="21"/>
        <v>88.859313694287096</v>
      </c>
      <c r="U82" s="806">
        <f t="shared" ca="1" si="22"/>
        <v>114.68911414573391</v>
      </c>
      <c r="V82" s="450">
        <f t="shared" si="14"/>
        <v>35</v>
      </c>
      <c r="W82" s="844">
        <f t="shared" ca="1" si="15"/>
        <v>15000</v>
      </c>
      <c r="X82" s="722">
        <f t="shared" si="16"/>
        <v>0.79999999999999982</v>
      </c>
      <c r="Y82" s="806">
        <f t="shared" ca="1" si="17"/>
        <v>63.745978849229054</v>
      </c>
      <c r="Z82" s="912">
        <f t="shared" ca="1" si="18"/>
        <v>1.4165773077606456E-2</v>
      </c>
      <c r="AA82" s="891">
        <f t="shared" ca="1" si="19"/>
        <v>1.9222085083771788E-2</v>
      </c>
      <c r="AB82" s="890">
        <f t="shared" ca="1" si="20"/>
        <v>5.8434507462017619E-3</v>
      </c>
      <c r="AC82" s="102"/>
      <c r="AD82" s="84" t="s">
        <v>242</v>
      </c>
      <c r="AE82" s="84"/>
      <c r="AF82" s="84"/>
      <c r="AJ82" s="102"/>
      <c r="AK82" s="102"/>
      <c r="AL82" s="491"/>
    </row>
    <row r="83" spans="1:39" outlineLevel="1" x14ac:dyDescent="0.3">
      <c r="A83" s="123" t="s">
        <v>204</v>
      </c>
      <c r="D83" s="752"/>
      <c r="E83" s="119"/>
      <c r="H83" s="211"/>
      <c r="K83" s="695"/>
      <c r="L83" s="833" t="s">
        <v>522</v>
      </c>
      <c r="M83" s="1532">
        <f>Inputs!C180</f>
        <v>30</v>
      </c>
      <c r="N83" s="450">
        <f ca="1">N</f>
        <v>30</v>
      </c>
      <c r="O83" s="102" t="s">
        <v>666</v>
      </c>
      <c r="P83" s="1555">
        <f>Inputs!C181</f>
        <v>0.47574149237192276</v>
      </c>
      <c r="Q83" s="1556">
        <f>Inputs!C182</f>
        <v>50</v>
      </c>
      <c r="R83" s="122">
        <f t="shared" ca="1" si="13"/>
        <v>50</v>
      </c>
      <c r="S83" s="924" t="s">
        <v>525</v>
      </c>
      <c r="T83" s="902">
        <f t="shared" si="21"/>
        <v>1500</v>
      </c>
      <c r="U83" s="806">
        <f t="shared" ca="1" si="22"/>
        <v>1500</v>
      </c>
      <c r="V83" s="450">
        <f t="shared" si="14"/>
        <v>35</v>
      </c>
      <c r="W83" s="844">
        <f t="shared" ca="1" si="15"/>
        <v>15000</v>
      </c>
      <c r="X83" s="722">
        <f t="shared" si="16"/>
        <v>0.79999999999999982</v>
      </c>
      <c r="Y83" s="806">
        <f t="shared" ca="1" si="17"/>
        <v>833.72313916682492</v>
      </c>
      <c r="Z83" s="912">
        <f t="shared" ca="1" si="18"/>
        <v>0.18527180870373888</v>
      </c>
      <c r="AA83" s="891">
        <f t="shared" ca="1" si="19"/>
        <v>0.25140247913171443</v>
      </c>
      <c r="AB83" s="890">
        <f t="shared" ca="1" si="20"/>
        <v>7.6425528129590858E-2</v>
      </c>
      <c r="AC83" s="102"/>
      <c r="AD83" s="84" t="s">
        <v>243</v>
      </c>
      <c r="AE83" s="84"/>
      <c r="AF83" s="84"/>
      <c r="AJ83" s="102"/>
      <c r="AK83" s="102"/>
      <c r="AL83" s="491"/>
    </row>
    <row r="84" spans="1:39" outlineLevel="1" x14ac:dyDescent="0.3">
      <c r="A84" s="123" t="s">
        <v>795</v>
      </c>
      <c r="D84" s="752"/>
      <c r="E84" s="119"/>
      <c r="H84" s="211"/>
      <c r="K84" s="695"/>
      <c r="L84" s="833" t="s">
        <v>938</v>
      </c>
      <c r="M84" s="1532">
        <f>Inputs!C185</f>
        <v>14.603504814471389</v>
      </c>
      <c r="N84" s="715">
        <f ca="1">L/1000*N</f>
        <v>24.283946705006482</v>
      </c>
      <c r="O84" s="102" t="s">
        <v>519</v>
      </c>
      <c r="P84" s="1555">
        <f>Inputs!C186</f>
        <v>0.47574149237192276</v>
      </c>
      <c r="Q84" s="1556">
        <f>Inputs!C187</f>
        <v>100</v>
      </c>
      <c r="R84" s="122">
        <f t="shared" ca="1" si="13"/>
        <v>84.867901719030655</v>
      </c>
      <c r="S84" s="924" t="s">
        <v>521</v>
      </c>
      <c r="T84" s="902">
        <f t="shared" si="21"/>
        <v>1460.3504814471389</v>
      </c>
      <c r="U84" s="806">
        <f t="shared" ca="1" si="22"/>
        <v>2060.9276023106686</v>
      </c>
      <c r="V84" s="450">
        <f t="shared" si="14"/>
        <v>35</v>
      </c>
      <c r="W84" s="844">
        <f t="shared" ca="1" si="15"/>
        <v>15000</v>
      </c>
      <c r="X84" s="722">
        <f t="shared" si="16"/>
        <v>0.79999999999999982</v>
      </c>
      <c r="Y84" s="806">
        <f t="shared" ca="1" si="17"/>
        <v>1145.4953534626723</v>
      </c>
      <c r="Z84" s="912">
        <f t="shared" ca="1" si="18"/>
        <v>0.25455452299170495</v>
      </c>
      <c r="AA84" s="891">
        <f t="shared" ca="1" si="19"/>
        <v>0.34541487235458807</v>
      </c>
      <c r="AB84" s="890">
        <f t="shared" ca="1" si="20"/>
        <v>0.10500498696229615</v>
      </c>
      <c r="AC84" s="102"/>
      <c r="AD84" s="84" t="s">
        <v>244</v>
      </c>
      <c r="AE84" s="84"/>
      <c r="AF84" s="84"/>
      <c r="AJ84" s="102"/>
      <c r="AK84" s="102"/>
      <c r="AL84" s="491"/>
    </row>
    <row r="85" spans="1:39" outlineLevel="1" x14ac:dyDescent="0.3">
      <c r="A85" s="123" t="s">
        <v>205</v>
      </c>
      <c r="D85" s="752"/>
      <c r="E85" s="119"/>
      <c r="H85" s="211"/>
      <c r="K85" s="695"/>
      <c r="L85" s="833" t="s">
        <v>522</v>
      </c>
      <c r="M85" s="1532">
        <f>Inputs!C190</f>
        <v>30</v>
      </c>
      <c r="N85" s="450">
        <f ca="1">N</f>
        <v>30</v>
      </c>
      <c r="O85" s="102" t="s">
        <v>666</v>
      </c>
      <c r="P85" s="703">
        <f>scaling_factor_selected</f>
        <v>0.79999999999999982</v>
      </c>
      <c r="Q85" s="1556">
        <f>Inputs!C191</f>
        <v>15</v>
      </c>
      <c r="R85" s="122">
        <f t="shared" ca="1" si="13"/>
        <v>15</v>
      </c>
      <c r="S85" s="924" t="s">
        <v>525</v>
      </c>
      <c r="T85" s="902">
        <f t="shared" si="21"/>
        <v>450</v>
      </c>
      <c r="U85" s="806">
        <f t="shared" ca="1" si="22"/>
        <v>450</v>
      </c>
      <c r="V85" s="450">
        <f t="shared" si="14"/>
        <v>35</v>
      </c>
      <c r="W85" s="844">
        <f t="shared" ca="1" si="15"/>
        <v>15000</v>
      </c>
      <c r="X85" s="722">
        <f t="shared" si="16"/>
        <v>0.79999999999999982</v>
      </c>
      <c r="Y85" s="806">
        <f t="shared" ca="1" si="17"/>
        <v>250.11694175004746</v>
      </c>
      <c r="Z85" s="912">
        <f t="shared" ca="1" si="18"/>
        <v>5.5581542611121658E-2</v>
      </c>
      <c r="AA85" s="891">
        <f t="shared" ca="1" si="19"/>
        <v>7.5420743739514323E-2</v>
      </c>
      <c r="AB85" s="890">
        <f t="shared" ca="1" si="20"/>
        <v>2.2927658438877254E-2</v>
      </c>
      <c r="AC85" s="102"/>
      <c r="AD85" s="84"/>
      <c r="AE85" s="84"/>
      <c r="AF85" s="84"/>
      <c r="AJ85" s="102"/>
      <c r="AK85" s="102"/>
      <c r="AL85" s="491"/>
    </row>
    <row r="86" spans="1:39" outlineLevel="1" x14ac:dyDescent="0.3">
      <c r="A86" s="123" t="s">
        <v>931</v>
      </c>
      <c r="D86" s="752"/>
      <c r="E86" s="119"/>
      <c r="H86" s="211"/>
      <c r="K86" s="695"/>
      <c r="L86" s="833"/>
      <c r="N86" s="714"/>
      <c r="O86" s="102"/>
      <c r="P86" s="702"/>
      <c r="Q86" s="212"/>
      <c r="R86" s="710"/>
      <c r="S86" s="924"/>
      <c r="T86" s="1532">
        <f>Inputs!C193</f>
        <v>300</v>
      </c>
      <c r="U86" s="810">
        <f>$T$86</f>
        <v>300</v>
      </c>
      <c r="V86" s="450">
        <f t="shared" si="14"/>
        <v>35</v>
      </c>
      <c r="W86" s="844">
        <f t="shared" ca="1" si="15"/>
        <v>15000</v>
      </c>
      <c r="X86" s="1557">
        <f>Inputs!C194</f>
        <v>0.5</v>
      </c>
      <c r="Y86" s="806">
        <f t="shared" ca="1" si="17"/>
        <v>48.395314646621429</v>
      </c>
      <c r="Z86" s="912">
        <f t="shared" ca="1" si="18"/>
        <v>1.0754514365915874E-2</v>
      </c>
      <c r="AA86" s="891">
        <f t="shared" ca="1" si="19"/>
        <v>1.4593216271625496E-2</v>
      </c>
      <c r="AB86" s="890">
        <f t="shared" ca="1" si="20"/>
        <v>4.436289827054545E-3</v>
      </c>
      <c r="AC86" s="102"/>
      <c r="AD86" s="84"/>
      <c r="AE86" s="84"/>
      <c r="AF86" s="84"/>
      <c r="AJ86" s="102"/>
      <c r="AK86" s="102"/>
      <c r="AL86" s="491"/>
    </row>
    <row r="87" spans="1:39" outlineLevel="1" x14ac:dyDescent="0.3">
      <c r="A87" s="123" t="s">
        <v>932</v>
      </c>
      <c r="D87" s="752"/>
      <c r="E87" s="119"/>
      <c r="H87" s="211"/>
      <c r="K87" s="695"/>
      <c r="L87" s="833" t="s">
        <v>522</v>
      </c>
      <c r="M87" s="1532">
        <f>Inputs!C197</f>
        <v>30</v>
      </c>
      <c r="N87" s="450">
        <f ca="1">N</f>
        <v>30</v>
      </c>
      <c r="O87" s="102" t="s">
        <v>666</v>
      </c>
      <c r="P87" s="703">
        <f>scaling_factor_selected</f>
        <v>0.79999999999999982</v>
      </c>
      <c r="Q87" s="1556">
        <f>Inputs!C198</f>
        <v>5</v>
      </c>
      <c r="R87" s="122">
        <f t="shared" ca="1" si="13"/>
        <v>5</v>
      </c>
      <c r="S87" s="924" t="s">
        <v>525</v>
      </c>
      <c r="T87" s="902">
        <f>IF(M87=0,Q87,M87*Q87)</f>
        <v>150</v>
      </c>
      <c r="U87" s="806">
        <f ca="1">IF(N87=0,R87,N87*R87)</f>
        <v>150</v>
      </c>
      <c r="V87" s="450">
        <f t="shared" si="14"/>
        <v>35</v>
      </c>
      <c r="W87" s="844">
        <f t="shared" ca="1" si="15"/>
        <v>15000</v>
      </c>
      <c r="X87" s="1557">
        <f>Inputs!C199</f>
        <v>0.5</v>
      </c>
      <c r="Y87" s="806">
        <f t="shared" ca="1" si="17"/>
        <v>24.197657323310715</v>
      </c>
      <c r="Z87" s="912">
        <f t="shared" ca="1" si="18"/>
        <v>5.3772571829579369E-3</v>
      </c>
      <c r="AA87" s="891">
        <f t="shared" ca="1" si="19"/>
        <v>7.2966081358127478E-3</v>
      </c>
      <c r="AB87" s="890">
        <f t="shared" ca="1" si="20"/>
        <v>2.2181449135272725E-3</v>
      </c>
      <c r="AC87" s="102"/>
      <c r="AD87" s="84" t="s">
        <v>246</v>
      </c>
      <c r="AE87" s="84"/>
      <c r="AF87" s="84"/>
      <c r="AJ87" s="102"/>
      <c r="AK87" s="102"/>
      <c r="AL87" s="491"/>
    </row>
    <row r="88" spans="1:39" outlineLevel="1" x14ac:dyDescent="0.3">
      <c r="A88" s="123" t="s">
        <v>206</v>
      </c>
      <c r="D88" s="752"/>
      <c r="E88" s="119"/>
      <c r="H88" s="211"/>
      <c r="K88" s="695"/>
      <c r="L88" s="833" t="s">
        <v>502</v>
      </c>
      <c r="M88" s="1532">
        <f>Inputs!C202</f>
        <v>40.5</v>
      </c>
      <c r="N88" s="716">
        <f ca="1">Pp</f>
        <v>4.5</v>
      </c>
      <c r="O88" s="102" t="s">
        <v>503</v>
      </c>
      <c r="P88" s="703">
        <f>scaling_factor_selected</f>
        <v>0.79999999999999982</v>
      </c>
      <c r="Q88" s="902">
        <v>10</v>
      </c>
      <c r="R88" s="122">
        <f t="shared" ca="1" si="13"/>
        <v>12.373018264213048</v>
      </c>
      <c r="S88" s="924" t="s">
        <v>497</v>
      </c>
      <c r="T88" s="902">
        <f>IF(M88=0,Q88,M88*Q88)</f>
        <v>405</v>
      </c>
      <c r="U88" s="806">
        <f ca="1">IF(N88=0,R88,N88*R88)</f>
        <v>55.678582188958714</v>
      </c>
      <c r="V88" s="450">
        <f t="shared" si="14"/>
        <v>35</v>
      </c>
      <c r="W88" s="844">
        <f t="shared" ca="1" si="15"/>
        <v>15000</v>
      </c>
      <c r="X88" s="722">
        <f>experience_factor_selected</f>
        <v>0.79999999999999982</v>
      </c>
      <c r="Y88" s="806">
        <f t="shared" ca="1" si="17"/>
        <v>30.947014884624483</v>
      </c>
      <c r="Z88" s="912">
        <f t="shared" ca="1" si="18"/>
        <v>6.877114418805441E-3</v>
      </c>
      <c r="AA88" s="891">
        <f t="shared" ca="1" si="19"/>
        <v>9.3318223978954267E-3</v>
      </c>
      <c r="AB88" s="890">
        <f t="shared" ca="1" si="20"/>
        <v>2.8368433661986672E-3</v>
      </c>
      <c r="AC88" s="102"/>
      <c r="AD88" s="84" t="s">
        <v>247</v>
      </c>
      <c r="AE88" s="84"/>
      <c r="AF88" s="84"/>
      <c r="AJ88" s="102"/>
      <c r="AK88" s="102"/>
      <c r="AL88" s="491"/>
    </row>
    <row r="89" spans="1:39" outlineLevel="2" x14ac:dyDescent="0.3">
      <c r="A89" s="868" t="s">
        <v>952</v>
      </c>
      <c r="D89" s="752"/>
      <c r="E89" s="119"/>
      <c r="H89" s="211"/>
      <c r="K89" s="695"/>
      <c r="L89" s="833"/>
      <c r="N89" s="714"/>
      <c r="O89" s="102"/>
      <c r="P89" s="702"/>
      <c r="Q89" s="212"/>
      <c r="R89" s="710"/>
      <c r="S89" s="924"/>
      <c r="T89" s="212"/>
      <c r="U89" s="802"/>
      <c r="V89" s="714"/>
      <c r="W89" s="869"/>
      <c r="X89" s="870"/>
      <c r="Y89" s="802"/>
      <c r="Z89" s="912"/>
      <c r="AA89" s="891"/>
      <c r="AB89" s="890">
        <f t="shared" ca="1" si="20"/>
        <v>0</v>
      </c>
      <c r="AC89" s="102"/>
      <c r="AD89" s="102"/>
      <c r="AJ89" s="102"/>
      <c r="AK89" s="102"/>
    </row>
    <row r="90" spans="1:39" outlineLevel="2" x14ac:dyDescent="0.3">
      <c r="A90" s="868" t="s">
        <v>953</v>
      </c>
      <c r="D90" s="752"/>
      <c r="E90" s="119"/>
      <c r="H90" s="211"/>
      <c r="K90" s="695"/>
      <c r="L90" s="833"/>
      <c r="N90" s="714"/>
      <c r="O90" s="102"/>
      <c r="P90" s="702"/>
      <c r="Q90" s="212"/>
      <c r="R90" s="710"/>
      <c r="S90" s="924"/>
      <c r="T90" s="212"/>
      <c r="U90" s="802"/>
      <c r="V90" s="714"/>
      <c r="W90" s="869"/>
      <c r="X90" s="870"/>
      <c r="Y90" s="802"/>
      <c r="Z90" s="912"/>
      <c r="AA90" s="891"/>
      <c r="AB90" s="890">
        <f t="shared" ca="1" si="20"/>
        <v>0</v>
      </c>
      <c r="AC90" s="102"/>
      <c r="AD90" s="102"/>
      <c r="AJ90" s="102"/>
      <c r="AK90" s="102"/>
    </row>
    <row r="91" spans="1:39" outlineLevel="1" x14ac:dyDescent="0.3">
      <c r="A91" s="123" t="s">
        <v>649</v>
      </c>
      <c r="D91" s="833" t="s">
        <v>670</v>
      </c>
      <c r="E91" s="1532">
        <f>Inputs!C205</f>
        <v>337.5</v>
      </c>
      <c r="F91" s="450">
        <f ca="1">Tmax_t</f>
        <v>42.000000000000007</v>
      </c>
      <c r="G91" s="102" t="s">
        <v>535</v>
      </c>
      <c r="H91" s="703">
        <f>scaling_factor_selected</f>
        <v>0.79999999999999982</v>
      </c>
      <c r="I91" s="1532">
        <f>Inputs!C206</f>
        <v>27</v>
      </c>
      <c r="J91" s="1121">
        <f ca="1">I91*(10*H91)^LOG(F91/E91)</f>
        <v>4.1119252602527245</v>
      </c>
      <c r="K91" s="1038" t="s">
        <v>969</v>
      </c>
      <c r="L91" s="833" t="s">
        <v>670</v>
      </c>
      <c r="M91" s="1532">
        <f>Inputs!C208</f>
        <v>30</v>
      </c>
      <c r="N91" s="450">
        <f ca="1">N</f>
        <v>30</v>
      </c>
      <c r="O91" s="102" t="s">
        <v>666</v>
      </c>
      <c r="P91" s="703">
        <f>scaling_factor_selected</f>
        <v>0.79999999999999982</v>
      </c>
      <c r="Q91" s="1122">
        <f ca="1">J91</f>
        <v>4.1119252602527245</v>
      </c>
      <c r="R91" s="122">
        <f ca="1">Q91*P91^LOG(N91/M91)</f>
        <v>4.1119252602527245</v>
      </c>
      <c r="S91" s="924" t="s">
        <v>525</v>
      </c>
      <c r="T91" s="902">
        <f t="shared" ref="T91:U93" ca="1" si="23">IF(M91=0,Q91,M91*Q91)</f>
        <v>123.35775780758173</v>
      </c>
      <c r="U91" s="806">
        <f t="shared" ca="1" si="23"/>
        <v>123.35775780758173</v>
      </c>
      <c r="V91" s="450">
        <f>Qo</f>
        <v>35</v>
      </c>
      <c r="W91" s="844">
        <f ca="1">Q</f>
        <v>15000</v>
      </c>
      <c r="X91" s="722">
        <f>experience_factor_selected</f>
        <v>0.79999999999999982</v>
      </c>
      <c r="Y91" s="806">
        <f ca="1">$U91*X91^LOG(W91/V91)</f>
        <v>68.564144719945304</v>
      </c>
      <c r="Z91" s="912">
        <f ca="1">Y91/Pp/1000</f>
        <v>1.5236476604432291E-2</v>
      </c>
      <c r="AA91" s="891">
        <f ca="1">Y91/$Y$94</f>
        <v>2.0674964088637102E-2</v>
      </c>
      <c r="AB91" s="890">
        <f t="shared" ca="1" si="20"/>
        <v>6.2851211928843962E-3</v>
      </c>
      <c r="AC91" s="102"/>
      <c r="AD91" s="84" t="s">
        <v>278</v>
      </c>
      <c r="AE91" s="84"/>
      <c r="AF91" s="84"/>
      <c r="AJ91" s="102"/>
      <c r="AK91" s="102"/>
      <c r="AL91" s="491"/>
    </row>
    <row r="92" spans="1:39" outlineLevel="1" x14ac:dyDescent="0.3">
      <c r="A92" s="123" t="s">
        <v>669</v>
      </c>
      <c r="D92" s="833" t="s">
        <v>676</v>
      </c>
      <c r="E92" s="1532">
        <f>Inputs!C211</f>
        <v>2806.6413579262262</v>
      </c>
      <c r="F92" s="450">
        <f ca="1">Mp</f>
        <v>436.56955251936</v>
      </c>
      <c r="G92" s="102" t="s">
        <v>173</v>
      </c>
      <c r="H92" s="703">
        <f>scaling_factor_selected</f>
        <v>0.79999999999999982</v>
      </c>
      <c r="I92" s="1532">
        <f>Inputs!C212</f>
        <v>2.2453130863409809</v>
      </c>
      <c r="J92" s="1121">
        <f ca="1">I92*(10*H92)^LOG(F92/E92)</f>
        <v>0.4182728315455691</v>
      </c>
      <c r="K92" s="1038" t="s">
        <v>968</v>
      </c>
      <c r="L92" s="833" t="s">
        <v>676</v>
      </c>
      <c r="M92" s="1532">
        <f>Inputs!C214</f>
        <v>30</v>
      </c>
      <c r="N92" s="450">
        <f ca="1">N</f>
        <v>30</v>
      </c>
      <c r="O92" s="102" t="s">
        <v>666</v>
      </c>
      <c r="P92" s="703">
        <f>scaling_factor_selected</f>
        <v>0.79999999999999982</v>
      </c>
      <c r="Q92" s="1122">
        <f ca="1">J92</f>
        <v>0.4182728315455691</v>
      </c>
      <c r="R92" s="122">
        <f ca="1">Q92*P92^LOG(N92/M92)</f>
        <v>0.4182728315455691</v>
      </c>
      <c r="S92" s="924" t="s">
        <v>525</v>
      </c>
      <c r="T92" s="902">
        <f t="shared" ca="1" si="23"/>
        <v>12.548184946367073</v>
      </c>
      <c r="U92" s="806">
        <f t="shared" ca="1" si="23"/>
        <v>12.548184946367073</v>
      </c>
      <c r="V92" s="450">
        <f>Qo</f>
        <v>35</v>
      </c>
      <c r="W92" s="844">
        <f ca="1">Q</f>
        <v>15000</v>
      </c>
      <c r="X92" s="722">
        <f>experience_factor_selected</f>
        <v>0.79999999999999982</v>
      </c>
      <c r="Y92" s="806">
        <f ca="1">$U92*X92^LOG(W92/V92)</f>
        <v>6.9744747628873682</v>
      </c>
      <c r="Z92" s="912">
        <f ca="1">Y92/Pp/1000</f>
        <v>1.5498832806416375E-3</v>
      </c>
      <c r="AA92" s="891">
        <f ca="1">Y92/$Y$94</f>
        <v>2.1030965360799608E-3</v>
      </c>
      <c r="AB92" s="890">
        <f t="shared" ca="1" si="20"/>
        <v>6.3933444106259018E-4</v>
      </c>
      <c r="AC92" s="102"/>
      <c r="AD92" s="84"/>
      <c r="AE92" s="84" t="s">
        <v>46</v>
      </c>
      <c r="AF92" s="84"/>
      <c r="AJ92" s="102"/>
      <c r="AK92" s="102"/>
      <c r="AL92" s="491"/>
    </row>
    <row r="93" spans="1:39" ht="15.75" outlineLevel="1" thickBot="1" x14ac:dyDescent="0.35">
      <c r="A93" s="123" t="s">
        <v>207</v>
      </c>
      <c r="D93" s="833" t="s">
        <v>670</v>
      </c>
      <c r="E93" s="1532">
        <f>Inputs!C217</f>
        <v>337.5</v>
      </c>
      <c r="F93" s="450">
        <f ca="1">Tmax_t</f>
        <v>42.000000000000007</v>
      </c>
      <c r="G93" s="102" t="s">
        <v>535</v>
      </c>
      <c r="H93" s="703">
        <f>scaling_factor_selected</f>
        <v>0.79999999999999982</v>
      </c>
      <c r="I93" s="1532">
        <f>Inputs!C218</f>
        <v>27</v>
      </c>
      <c r="J93" s="1121">
        <f ca="1">I93*H93^LOG(F93/E93)</f>
        <v>33.042256555602258</v>
      </c>
      <c r="K93" s="1038" t="s">
        <v>969</v>
      </c>
      <c r="L93" s="833" t="s">
        <v>670</v>
      </c>
      <c r="M93" s="1532">
        <f>Inputs!C220</f>
        <v>30</v>
      </c>
      <c r="N93" s="450">
        <f ca="1">N</f>
        <v>30</v>
      </c>
      <c r="O93" s="102" t="s">
        <v>666</v>
      </c>
      <c r="P93" s="703">
        <f>scaling_factor_selected</f>
        <v>0.79999999999999982</v>
      </c>
      <c r="Q93" s="1122">
        <f ca="1">J93</f>
        <v>33.042256555602258</v>
      </c>
      <c r="R93" s="122">
        <f ca="1">Q93*P93^LOG(N93/M93)</f>
        <v>33.042256555602258</v>
      </c>
      <c r="S93" s="924" t="s">
        <v>525</v>
      </c>
      <c r="T93" s="902">
        <f t="shared" ca="1" si="23"/>
        <v>991.26769666806774</v>
      </c>
      <c r="U93" s="806">
        <f t="shared" ca="1" si="23"/>
        <v>991.26769666806774</v>
      </c>
      <c r="V93" s="450">
        <f>Qo</f>
        <v>35</v>
      </c>
      <c r="W93" s="844">
        <f ca="1">Q</f>
        <v>15000</v>
      </c>
      <c r="X93" s="722">
        <f>experience_factor_selected</f>
        <v>0.79999999999999982</v>
      </c>
      <c r="Y93" s="806">
        <f ca="1">$U93*X93^LOG(W93/V93)</f>
        <v>550.96187721384626</v>
      </c>
      <c r="Z93" s="912">
        <f ca="1">Y93/Pp/1000</f>
        <v>0.12243597271418806</v>
      </c>
      <c r="AA93" s="891">
        <f ca="1">Y93/$Y$94</f>
        <v>0.166138104283691</v>
      </c>
      <c r="AB93" s="890">
        <f t="shared" ca="1" si="20"/>
        <v>5.0505438157106765E-2</v>
      </c>
      <c r="AC93" s="102"/>
      <c r="AD93" s="84"/>
      <c r="AE93" s="84" t="s">
        <v>46</v>
      </c>
      <c r="AF93" s="84"/>
      <c r="AJ93" s="102"/>
      <c r="AK93" s="102"/>
      <c r="AL93" s="491"/>
    </row>
    <row r="94" spans="1:39" ht="16.5" customHeight="1" thickBot="1" x14ac:dyDescent="0.35">
      <c r="A94" s="854" t="s">
        <v>793</v>
      </c>
      <c r="B94" s="934"/>
      <c r="C94" s="856"/>
      <c r="D94" s="854"/>
      <c r="E94" s="855"/>
      <c r="F94" s="855"/>
      <c r="G94" s="855"/>
      <c r="H94" s="858"/>
      <c r="I94" s="858"/>
      <c r="J94" s="858"/>
      <c r="K94" s="871"/>
      <c r="L94" s="859"/>
      <c r="M94" s="959">
        <f>M80</f>
        <v>40.5</v>
      </c>
      <c r="N94" s="959">
        <f ca="1">N80</f>
        <v>4.5</v>
      </c>
      <c r="O94" s="894" t="s">
        <v>503</v>
      </c>
      <c r="P94" s="960"/>
      <c r="Q94" s="864">
        <f ca="1">T94/M94/1000</f>
        <v>0.1882869272115856</v>
      </c>
      <c r="R94" s="864">
        <f ca="1">U94/N94/1000</f>
        <v>1.3968715595947001</v>
      </c>
      <c r="S94" s="861" t="s">
        <v>528</v>
      </c>
      <c r="T94" s="865">
        <f ca="1">SUM(T79:T93)</f>
        <v>7625.6205520692174</v>
      </c>
      <c r="U94" s="866">
        <f ca="1">SUM(U79:U93)</f>
        <v>6285.9220181761502</v>
      </c>
      <c r="V94" s="962">
        <f>Qo</f>
        <v>35</v>
      </c>
      <c r="W94" s="962">
        <f ca="1">Q</f>
        <v>15000</v>
      </c>
      <c r="X94" s="960">
        <f ca="1">IFERROR(10^(LOG(Y94/U94)/LOG(W94/V94)),)</f>
        <v>0.78430588000946133</v>
      </c>
      <c r="Y94" s="818">
        <f ca="1">SUM(Y79:Y93)</f>
        <v>3316.288455254341</v>
      </c>
      <c r="Z94" s="819">
        <f ca="1">Y94/Pp/1000</f>
        <v>0.73695299005652015</v>
      </c>
      <c r="AA94" s="867">
        <f ca="1">Y94/$Y$94</f>
        <v>1</v>
      </c>
      <c r="AB94" s="872">
        <f t="shared" ca="1" si="20"/>
        <v>0.30399671631539521</v>
      </c>
      <c r="AC94" s="102"/>
      <c r="AD94" s="102"/>
      <c r="AE94" s="102" t="s">
        <v>46</v>
      </c>
      <c r="AJ94" s="102"/>
      <c r="AK94" s="102"/>
      <c r="AL94" s="102"/>
      <c r="AM94" s="102"/>
    </row>
    <row r="95" spans="1:39" outlineLevel="1" x14ac:dyDescent="0.3">
      <c r="A95" s="123" t="s">
        <v>842</v>
      </c>
      <c r="M95" s="119">
        <f t="shared" ref="M95:N97" si="24">M94</f>
        <v>40.5</v>
      </c>
      <c r="N95" s="119">
        <f t="shared" ca="1" si="24"/>
        <v>4.5</v>
      </c>
      <c r="O95" s="102" t="s">
        <v>503</v>
      </c>
      <c r="Q95" s="366">
        <f t="shared" ref="Q95:R97" ca="1" si="25">T95/Pp/1000</f>
        <v>0.45</v>
      </c>
      <c r="R95" s="366">
        <f t="shared" ca="1" si="25"/>
        <v>7.9817565783588729E-2</v>
      </c>
      <c r="S95" s="820" t="s">
        <v>528</v>
      </c>
      <c r="T95" s="119">
        <f>T80+T81</f>
        <v>2025</v>
      </c>
      <c r="U95" s="119">
        <f ca="1">U80+U81</f>
        <v>359.17904602614931</v>
      </c>
      <c r="Y95" s="119">
        <f ca="1">Y80+Y81</f>
        <v>199.63725451724446</v>
      </c>
      <c r="Z95" s="366">
        <f ca="1">Z80+Z81</f>
        <v>4.4363834337165432E-2</v>
      </c>
      <c r="AA95" s="369"/>
      <c r="AB95" s="369"/>
      <c r="AC95" s="102"/>
      <c r="AD95" s="102"/>
      <c r="AE95" s="84" t="s">
        <v>46</v>
      </c>
      <c r="AJ95" s="102"/>
      <c r="AK95" s="102"/>
      <c r="AL95" s="102"/>
      <c r="AM95" s="102"/>
    </row>
    <row r="96" spans="1:39" outlineLevel="1" x14ac:dyDescent="0.3">
      <c r="A96" s="123" t="s">
        <v>848</v>
      </c>
      <c r="M96" s="119">
        <f t="shared" si="24"/>
        <v>40.5</v>
      </c>
      <c r="N96" s="119">
        <f t="shared" ca="1" si="24"/>
        <v>4.5</v>
      </c>
      <c r="O96" s="102" t="s">
        <v>503</v>
      </c>
      <c r="Q96" s="366">
        <f t="shared" ca="1" si="25"/>
        <v>0.79409931392160027</v>
      </c>
      <c r="R96" s="366">
        <f t="shared" ca="1" si="25"/>
        <v>0.86657096282844115</v>
      </c>
      <c r="S96" s="820" t="s">
        <v>528</v>
      </c>
      <c r="T96" s="119">
        <f>SUM(T79,T82:T84,T88:T90)</f>
        <v>3573.4469126472009</v>
      </c>
      <c r="U96" s="119">
        <f ca="1">SUM(U79,U82:U84,U88:U90)</f>
        <v>3899.5693327279851</v>
      </c>
      <c r="Y96" s="119">
        <f ca="1">SUM(Y79,Y82:Y84,Y88:Y90)</f>
        <v>2167.4407903204378</v>
      </c>
      <c r="Z96" s="366">
        <f ca="1">SUM(Z79,Z82:Z84,Z88:Z90)</f>
        <v>0.48165350896009729</v>
      </c>
      <c r="AA96" s="119"/>
      <c r="AB96" s="119"/>
      <c r="AC96" s="102"/>
      <c r="AD96" s="102"/>
      <c r="AE96" s="84"/>
      <c r="AJ96" s="102"/>
      <c r="AK96" s="102"/>
      <c r="AL96" s="102"/>
      <c r="AM96" s="102"/>
    </row>
    <row r="97" spans="1:39" outlineLevel="1" x14ac:dyDescent="0.3">
      <c r="A97" s="123" t="s">
        <v>843</v>
      </c>
      <c r="M97" s="119">
        <f t="shared" si="24"/>
        <v>40.5</v>
      </c>
      <c r="N97" s="119">
        <f t="shared" ca="1" si="24"/>
        <v>4.5</v>
      </c>
      <c r="O97" s="102" t="s">
        <v>503</v>
      </c>
      <c r="Q97" s="366">
        <f t="shared" ca="1" si="25"/>
        <v>0.45048303098267034</v>
      </c>
      <c r="R97" s="366">
        <f t="shared" ca="1" si="25"/>
        <v>0.45048303098267034</v>
      </c>
      <c r="S97" s="820" t="s">
        <v>528</v>
      </c>
      <c r="T97" s="119">
        <f ca="1">T91+T92+T93+T85+T86+T87</f>
        <v>2027.1736394220165</v>
      </c>
      <c r="U97" s="119">
        <f ca="1">U91+U92+U93+U85+U86+U87</f>
        <v>2027.1736394220165</v>
      </c>
      <c r="Y97" s="119">
        <f ca="1">Y91+Y92+Y93+Y85+Y86+Y87</f>
        <v>949.21041041665853</v>
      </c>
      <c r="Z97" s="366">
        <f ca="1">Z91+Z92+Z93+Z85+Z86+Z87</f>
        <v>0.21093564675925747</v>
      </c>
      <c r="AA97" s="369"/>
      <c r="AB97" s="369"/>
      <c r="AC97" s="102"/>
      <c r="AD97" s="102"/>
      <c r="AE97" s="84"/>
      <c r="AJ97" s="102"/>
      <c r="AK97" s="102"/>
      <c r="AL97" s="102"/>
      <c r="AM97" s="102"/>
    </row>
    <row r="98" spans="1:39" outlineLevel="1" x14ac:dyDescent="0.3">
      <c r="A98" s="1294" t="s">
        <v>297</v>
      </c>
      <c r="B98" s="1295"/>
      <c r="C98" s="1295"/>
      <c r="D98" s="1294"/>
      <c r="E98" s="1294"/>
      <c r="F98" s="1294"/>
      <c r="G98" s="1294"/>
      <c r="H98" s="1294"/>
      <c r="I98" s="1294"/>
      <c r="J98" s="1294"/>
      <c r="K98" s="1294"/>
      <c r="L98" s="1296"/>
      <c r="M98" s="1295"/>
      <c r="N98" s="1295"/>
      <c r="O98" s="1294"/>
      <c r="P98" s="1295"/>
      <c r="Q98" s="1295"/>
      <c r="R98" s="1295"/>
      <c r="S98" s="1296"/>
      <c r="T98" s="1295">
        <f ca="1">SUM(T95:T97)</f>
        <v>7625.6205520692183</v>
      </c>
      <c r="U98" s="1295">
        <f ca="1">SUM(U95:U97)</f>
        <v>6285.9220181761502</v>
      </c>
      <c r="V98" s="1295"/>
      <c r="W98" s="1295"/>
      <c r="X98" s="1297"/>
      <c r="Y98" s="1295">
        <f ca="1">SUM(Y95:Y97)</f>
        <v>3316.288455254341</v>
      </c>
      <c r="Z98" s="1298">
        <f ca="1">SUM(Z95:Z97)</f>
        <v>0.73695299005652015</v>
      </c>
      <c r="AA98" s="1299"/>
      <c r="AB98" s="1299"/>
      <c r="AC98" s="102"/>
      <c r="AD98" s="102"/>
      <c r="AE98" s="84"/>
      <c r="AJ98" s="102"/>
      <c r="AK98" s="102"/>
      <c r="AL98" s="102"/>
      <c r="AM98" s="102"/>
    </row>
    <row r="99" spans="1:39" ht="15.75" thickBot="1" x14ac:dyDescent="0.35">
      <c r="B99" s="102"/>
      <c r="C99" s="102"/>
      <c r="Q99" s="119"/>
      <c r="S99" s="820"/>
      <c r="Z99" s="83"/>
      <c r="AA99" s="369"/>
      <c r="AB99" s="369"/>
      <c r="AC99" s="102"/>
      <c r="AD99" s="102"/>
      <c r="AF99" s="120"/>
      <c r="AG99" s="120"/>
      <c r="AH99" s="120"/>
      <c r="AI99" s="120"/>
      <c r="AJ99" s="102"/>
      <c r="AK99" s="102"/>
      <c r="AL99" s="102"/>
      <c r="AM99" s="102"/>
    </row>
    <row r="100" spans="1:39" ht="35.450000000000003" customHeight="1" outlineLevel="1" collapsed="1" thickBot="1" x14ac:dyDescent="0.35">
      <c r="A100" s="935" t="s">
        <v>796</v>
      </c>
      <c r="B100" s="937"/>
      <c r="C100" s="937"/>
      <c r="D100" s="938" t="s">
        <v>940</v>
      </c>
      <c r="E100" s="939"/>
      <c r="F100" s="939"/>
      <c r="G100" s="939"/>
      <c r="H100" s="939"/>
      <c r="I100" s="939"/>
      <c r="J100" s="939"/>
      <c r="K100" s="940"/>
      <c r="L100" s="765" t="s">
        <v>941</v>
      </c>
      <c r="M100" s="786"/>
      <c r="N100" s="786"/>
      <c r="O100" s="786"/>
      <c r="P100" s="786"/>
      <c r="Q100" s="787"/>
      <c r="R100" s="786"/>
      <c r="S100" s="786"/>
      <c r="T100" s="788"/>
      <c r="U100" s="766"/>
      <c r="V100" s="1990" t="s">
        <v>950</v>
      </c>
      <c r="W100" s="1991"/>
      <c r="X100" s="1991"/>
      <c r="Y100" s="1992"/>
      <c r="Z100" s="892" t="s">
        <v>470</v>
      </c>
      <c r="AA100" s="873"/>
      <c r="AB100" s="767"/>
      <c r="AC100" s="102"/>
      <c r="AD100" s="102"/>
      <c r="AJ100" s="102"/>
      <c r="AK100" s="102"/>
      <c r="AL100" s="102"/>
      <c r="AM100" s="102"/>
    </row>
    <row r="101" spans="1:39" ht="25.5" customHeight="1" outlineLevel="1" x14ac:dyDescent="0.3">
      <c r="A101" s="180"/>
      <c r="D101" s="691" t="s">
        <v>483</v>
      </c>
      <c r="E101" s="31" t="s">
        <v>919</v>
      </c>
      <c r="F101" s="31" t="s">
        <v>920</v>
      </c>
      <c r="G101" s="179" t="s">
        <v>281</v>
      </c>
      <c r="H101" s="701" t="s">
        <v>307</v>
      </c>
      <c r="I101" s="501" t="s">
        <v>918</v>
      </c>
      <c r="J101" s="31" t="s">
        <v>921</v>
      </c>
      <c r="K101" s="697" t="s">
        <v>281</v>
      </c>
      <c r="L101" s="840" t="s">
        <v>483</v>
      </c>
      <c r="M101" s="31" t="s">
        <v>919</v>
      </c>
      <c r="N101" s="31" t="s">
        <v>920</v>
      </c>
      <c r="O101" s="31" t="s">
        <v>281</v>
      </c>
      <c r="P101" s="566" t="s">
        <v>307</v>
      </c>
      <c r="Q101" s="31" t="s">
        <v>922</v>
      </c>
      <c r="R101" s="559" t="s">
        <v>923</v>
      </c>
      <c r="S101" s="826" t="s">
        <v>281</v>
      </c>
      <c r="T101" s="460" t="s">
        <v>933</v>
      </c>
      <c r="U101" s="559" t="s">
        <v>934</v>
      </c>
      <c r="V101" s="460" t="s">
        <v>943</v>
      </c>
      <c r="W101" s="1006" t="s">
        <v>944</v>
      </c>
      <c r="X101" s="996" t="s">
        <v>512</v>
      </c>
      <c r="Y101" s="742" t="s">
        <v>498</v>
      </c>
      <c r="Z101" s="884" t="s">
        <v>498</v>
      </c>
      <c r="AA101" s="888" t="s">
        <v>939</v>
      </c>
      <c r="AB101" s="886" t="s">
        <v>653</v>
      </c>
      <c r="AC101" s="102"/>
      <c r="AD101" s="102"/>
      <c r="AJ101" s="102"/>
      <c r="AK101" s="102"/>
      <c r="AL101" s="102"/>
      <c r="AM101" s="102"/>
    </row>
    <row r="102" spans="1:39" outlineLevel="1" x14ac:dyDescent="0.3">
      <c r="A102" s="221"/>
      <c r="B102" s="178"/>
      <c r="C102" s="178"/>
      <c r="D102" s="692"/>
      <c r="E102" s="227" t="s">
        <v>499</v>
      </c>
      <c r="F102" s="227" t="s">
        <v>6</v>
      </c>
      <c r="G102" s="227" t="s">
        <v>392</v>
      </c>
      <c r="H102" s="368" t="s">
        <v>404</v>
      </c>
      <c r="I102" s="222" t="s">
        <v>924</v>
      </c>
      <c r="J102" s="227" t="s">
        <v>125</v>
      </c>
      <c r="K102" s="693" t="s">
        <v>917</v>
      </c>
      <c r="L102" s="832"/>
      <c r="M102" s="227" t="s">
        <v>499</v>
      </c>
      <c r="N102" s="227" t="s">
        <v>925</v>
      </c>
      <c r="O102" s="227" t="s">
        <v>392</v>
      </c>
      <c r="P102" s="368" t="s">
        <v>404</v>
      </c>
      <c r="Q102" s="367" t="s">
        <v>462</v>
      </c>
      <c r="R102" s="227" t="s">
        <v>926</v>
      </c>
      <c r="S102" s="932" t="s">
        <v>500</v>
      </c>
      <c r="T102" s="222" t="s">
        <v>929</v>
      </c>
      <c r="U102" s="227" t="s">
        <v>930</v>
      </c>
      <c r="V102" s="222" t="s">
        <v>666</v>
      </c>
      <c r="W102" s="225" t="s">
        <v>666</v>
      </c>
      <c r="X102" s="222" t="s">
        <v>395</v>
      </c>
      <c r="Y102" s="693" t="s">
        <v>305</v>
      </c>
      <c r="Z102" s="885" t="s">
        <v>528</v>
      </c>
      <c r="AA102" s="380" t="s">
        <v>415</v>
      </c>
      <c r="AB102" s="887" t="s">
        <v>415</v>
      </c>
      <c r="AC102" s="102"/>
      <c r="AD102" s="180" t="s">
        <v>218</v>
      </c>
      <c r="AJ102" s="102"/>
      <c r="AK102" s="102"/>
      <c r="AL102" s="102"/>
      <c r="AM102" s="102"/>
    </row>
    <row r="103" spans="1:39" s="942" customFormat="1" outlineLevel="1" x14ac:dyDescent="0.3">
      <c r="A103" s="868" t="s">
        <v>530</v>
      </c>
      <c r="B103" s="941"/>
      <c r="C103" s="941"/>
      <c r="D103" s="951"/>
      <c r="H103" s="943"/>
      <c r="I103" s="944"/>
      <c r="K103" s="945"/>
      <c r="L103" s="952"/>
      <c r="M103" s="953"/>
      <c r="N103" s="953"/>
      <c r="O103" s="954"/>
      <c r="P103" s="955"/>
      <c r="Q103" s="956"/>
      <c r="R103" s="953"/>
      <c r="S103" s="952"/>
      <c r="T103" s="957"/>
      <c r="U103" s="958"/>
      <c r="V103" s="953"/>
      <c r="W103" s="1015"/>
      <c r="X103" s="1016"/>
      <c r="Y103" s="958"/>
      <c r="Z103" s="946"/>
      <c r="AA103" s="947"/>
      <c r="AB103" s="948"/>
      <c r="AD103" s="949"/>
    </row>
    <row r="104" spans="1:39" s="942" customFormat="1" outlineLevel="1" x14ac:dyDescent="0.3">
      <c r="A104" s="868" t="s">
        <v>529</v>
      </c>
      <c r="B104" s="941"/>
      <c r="C104" s="941"/>
      <c r="D104" s="951"/>
      <c r="H104" s="943"/>
      <c r="I104" s="944"/>
      <c r="K104" s="945"/>
      <c r="L104" s="952"/>
      <c r="M104" s="954"/>
      <c r="N104" s="954"/>
      <c r="O104" s="949"/>
      <c r="P104" s="955"/>
      <c r="Q104" s="956"/>
      <c r="R104" s="953"/>
      <c r="S104" s="952"/>
      <c r="T104" s="957"/>
      <c r="U104" s="958"/>
      <c r="V104" s="953"/>
      <c r="W104" s="1015"/>
      <c r="X104" s="1016"/>
      <c r="Y104" s="958"/>
      <c r="Z104" s="946"/>
      <c r="AA104" s="947"/>
      <c r="AB104" s="948"/>
      <c r="AD104" s="949"/>
    </row>
    <row r="105" spans="1:39" outlineLevel="1" x14ac:dyDescent="0.3">
      <c r="A105" s="123" t="s">
        <v>202</v>
      </c>
      <c r="D105" s="696"/>
      <c r="H105" s="211"/>
      <c r="I105" s="208"/>
      <c r="K105" s="695"/>
      <c r="L105" s="820" t="s">
        <v>502</v>
      </c>
      <c r="M105" s="1532">
        <f>Inputs!C224</f>
        <v>225</v>
      </c>
      <c r="N105" s="950">
        <f ca="1">Pp</f>
        <v>4.5</v>
      </c>
      <c r="O105" s="102" t="s">
        <v>503</v>
      </c>
      <c r="P105" s="1555">
        <f>Inputs!C225</f>
        <v>0.4</v>
      </c>
      <c r="Q105" s="1579">
        <f>Inputs!C226</f>
        <v>384</v>
      </c>
      <c r="R105" s="122">
        <f ca="1">Q105*P105^LOG(N105/M105)</f>
        <v>1821.4588433890381</v>
      </c>
      <c r="S105" s="820" t="s">
        <v>497</v>
      </c>
      <c r="T105" s="902">
        <f>IF(M105=0,Q105,M105*Q105)</f>
        <v>86400</v>
      </c>
      <c r="U105" s="806">
        <f ca="1">IF(N105=0,R105,N105*R105)</f>
        <v>8196.5647952506715</v>
      </c>
      <c r="V105" s="1532">
        <f>Inputs!C227</f>
        <v>100</v>
      </c>
      <c r="W105" s="1017">
        <f t="shared" ref="W105:W114" ca="1" si="26">Qoffshore</f>
        <v>5000</v>
      </c>
      <c r="X105" s="1578">
        <f>Inputs!C228</f>
        <v>0.7</v>
      </c>
      <c r="Y105" s="806">
        <f t="shared" ref="Y105:Y117" ca="1" si="27">$U105*X105^LOG(W105/V105)</f>
        <v>4471.5500150486923</v>
      </c>
      <c r="Z105" s="883">
        <f t="shared" ref="Z105:Z114" ca="1" si="28">Y105/Pp/1000</f>
        <v>0.99367778112193161</v>
      </c>
      <c r="AA105" s="369">
        <f t="shared" ref="AA105:AA114" ca="1" si="29">Y105/$Y$118</f>
        <v>0.22652308751858061</v>
      </c>
      <c r="AB105" s="763">
        <f ca="1">Y105/($Y$130*1000+$Y$118)</f>
        <v>0.1635976613149048</v>
      </c>
      <c r="AC105" s="102"/>
      <c r="AD105" s="84" t="s">
        <v>954</v>
      </c>
      <c r="AJ105" s="102"/>
      <c r="AK105" s="102"/>
      <c r="AL105" s="102"/>
      <c r="AM105" s="102"/>
    </row>
    <row r="106" spans="1:39" outlineLevel="1" x14ac:dyDescent="0.3">
      <c r="A106" s="123" t="s">
        <v>203</v>
      </c>
      <c r="D106" s="694"/>
      <c r="H106" s="211"/>
      <c r="I106" s="208"/>
      <c r="K106" s="695"/>
      <c r="L106" s="824"/>
      <c r="N106" s="712"/>
      <c r="O106" s="84"/>
      <c r="P106" s="704"/>
      <c r="Q106" s="899"/>
      <c r="R106" s="713"/>
      <c r="S106" s="824"/>
      <c r="T106" s="900"/>
      <c r="U106" s="901"/>
      <c r="V106" s="1532">
        <f>Inputs!C230</f>
        <v>100</v>
      </c>
      <c r="W106" s="1019">
        <f t="shared" ca="1" si="26"/>
        <v>5000</v>
      </c>
      <c r="X106" s="1020"/>
      <c r="Y106" s="901"/>
      <c r="Z106" s="883">
        <f t="shared" ca="1" si="28"/>
        <v>0</v>
      </c>
      <c r="AA106" s="369">
        <f t="shared" ca="1" si="29"/>
        <v>0</v>
      </c>
      <c r="AB106" s="763">
        <f t="shared" ref="AB106:AB118" ca="1" si="30">Y106/($Y$130*1000+$Y$118)</f>
        <v>0</v>
      </c>
      <c r="AC106" s="102"/>
      <c r="AD106" s="84" t="s">
        <v>242</v>
      </c>
      <c r="AJ106" s="102"/>
      <c r="AK106" s="102"/>
      <c r="AL106" s="102"/>
      <c r="AM106" s="102"/>
    </row>
    <row r="107" spans="1:39" outlineLevel="1" x14ac:dyDescent="0.3">
      <c r="A107" s="123" t="s">
        <v>204</v>
      </c>
      <c r="D107" s="694"/>
      <c r="H107" s="211"/>
      <c r="I107" s="208"/>
      <c r="K107" s="695"/>
      <c r="L107" s="820" t="s">
        <v>502</v>
      </c>
      <c r="M107" s="1532">
        <f>Inputs!C233</f>
        <v>225</v>
      </c>
      <c r="N107" s="450">
        <f ca="1">Pp</f>
        <v>4.5</v>
      </c>
      <c r="O107" s="102" t="s">
        <v>503</v>
      </c>
      <c r="P107" s="1555">
        <f>Inputs!C234</f>
        <v>0.47574149237192276</v>
      </c>
      <c r="Q107" s="1579">
        <f>Inputs!C235</f>
        <v>2.5</v>
      </c>
      <c r="R107" s="903">
        <f ca="1">Q107*P107^LOG(N107/M107)</f>
        <v>8.8323638230073094</v>
      </c>
      <c r="S107" s="820" t="s">
        <v>497</v>
      </c>
      <c r="T107" s="902">
        <f t="shared" ref="T107:U109" si="31">IF(M107=0,Q107,M107*Q107)</f>
        <v>562.5</v>
      </c>
      <c r="U107" s="806">
        <f t="shared" ca="1" si="31"/>
        <v>39.745637203532894</v>
      </c>
      <c r="V107" s="1532">
        <f>Inputs!C236</f>
        <v>100</v>
      </c>
      <c r="W107" s="1019">
        <f t="shared" ca="1" si="26"/>
        <v>5000</v>
      </c>
      <c r="X107" s="1578">
        <f>Inputs!C237</f>
        <v>0.7</v>
      </c>
      <c r="Y107" s="806">
        <f t="shared" ca="1" si="27"/>
        <v>21.682815798461835</v>
      </c>
      <c r="Z107" s="883">
        <f t="shared" ca="1" si="28"/>
        <v>4.8184035107692973E-3</v>
      </c>
      <c r="AA107" s="369">
        <f t="shared" ca="1" si="29"/>
        <v>1.0984241178639143E-3</v>
      </c>
      <c r="AB107" s="763">
        <f t="shared" ca="1" si="30"/>
        <v>7.9329492981453304E-4</v>
      </c>
      <c r="AC107" s="102"/>
      <c r="AD107" s="84" t="s">
        <v>243</v>
      </c>
      <c r="AJ107" s="102"/>
      <c r="AK107" s="102"/>
      <c r="AL107" s="102"/>
      <c r="AM107" s="102"/>
    </row>
    <row r="108" spans="1:39" outlineLevel="1" x14ac:dyDescent="0.3">
      <c r="A108" s="123" t="s">
        <v>795</v>
      </c>
      <c r="D108" s="694"/>
      <c r="H108" s="211"/>
      <c r="I108" s="208"/>
      <c r="K108" s="695"/>
      <c r="L108" s="820" t="s">
        <v>938</v>
      </c>
      <c r="M108" s="1532">
        <f>Inputs!C240</f>
        <v>68.671489842805244</v>
      </c>
      <c r="N108" s="715">
        <f ca="1">L/1000*N</f>
        <v>24.283946705006482</v>
      </c>
      <c r="O108" s="102" t="s">
        <v>519</v>
      </c>
      <c r="P108" s="1555">
        <f>Inputs!C241</f>
        <v>0.47574149237192276</v>
      </c>
      <c r="Q108" s="1579">
        <f>Inputs!C242</f>
        <v>465</v>
      </c>
      <c r="R108" s="122">
        <f ca="1">Q108*P108^LOG(N108/M108)</f>
        <v>650.28857452596662</v>
      </c>
      <c r="S108" s="820" t="s">
        <v>521</v>
      </c>
      <c r="T108" s="902">
        <f t="shared" si="31"/>
        <v>31932.242776904437</v>
      </c>
      <c r="U108" s="806">
        <f t="shared" ca="1" si="31"/>
        <v>15791.573086663209</v>
      </c>
      <c r="V108" s="1532">
        <f>Inputs!C243</f>
        <v>100</v>
      </c>
      <c r="W108" s="1019">
        <f t="shared" ca="1" si="26"/>
        <v>5000</v>
      </c>
      <c r="X108" s="1578">
        <f>Inputs!C244</f>
        <v>0.7</v>
      </c>
      <c r="Y108" s="806">
        <f t="shared" ca="1" si="27"/>
        <v>8614.9271844012637</v>
      </c>
      <c r="Z108" s="883">
        <f t="shared" ca="1" si="28"/>
        <v>1.9144282632002807</v>
      </c>
      <c r="AA108" s="369">
        <f t="shared" ca="1" si="29"/>
        <v>0.43642135232542545</v>
      </c>
      <c r="AB108" s="763">
        <f t="shared" ca="1" si="30"/>
        <v>0.31518867842762954</v>
      </c>
      <c r="AC108" s="102"/>
      <c r="AD108" s="84" t="s">
        <v>244</v>
      </c>
      <c r="AJ108" s="102"/>
      <c r="AK108" s="102"/>
      <c r="AL108" s="102"/>
      <c r="AM108" s="102"/>
    </row>
    <row r="109" spans="1:39" outlineLevel="1" x14ac:dyDescent="0.3">
      <c r="A109" s="123" t="s">
        <v>205</v>
      </c>
      <c r="D109" s="694"/>
      <c r="H109" s="211"/>
      <c r="I109" s="208"/>
      <c r="K109" s="695"/>
      <c r="L109" s="820" t="s">
        <v>522</v>
      </c>
      <c r="M109" s="1532">
        <f>Inputs!C247</f>
        <v>30</v>
      </c>
      <c r="N109" s="450">
        <f ca="1">N</f>
        <v>30</v>
      </c>
      <c r="O109" s="102" t="s">
        <v>294</v>
      </c>
      <c r="P109" s="1555">
        <f>Inputs!C248</f>
        <v>0.47574149237192276</v>
      </c>
      <c r="Q109" s="1579">
        <f>Inputs!C249</f>
        <v>15</v>
      </c>
      <c r="R109" s="122">
        <f ca="1">Q109*P109^LOG(N109/M109)</f>
        <v>15</v>
      </c>
      <c r="S109" s="820" t="s">
        <v>525</v>
      </c>
      <c r="T109" s="902">
        <f t="shared" si="31"/>
        <v>450</v>
      </c>
      <c r="U109" s="806">
        <f t="shared" ca="1" si="31"/>
        <v>450</v>
      </c>
      <c r="V109" s="1532">
        <f>Inputs!C250</f>
        <v>100</v>
      </c>
      <c r="W109" s="1019">
        <f t="shared" ca="1" si="26"/>
        <v>5000</v>
      </c>
      <c r="X109" s="1578">
        <f>Inputs!C251</f>
        <v>0.7</v>
      </c>
      <c r="Y109" s="806">
        <f t="shared" ca="1" si="27"/>
        <v>245.49278350582154</v>
      </c>
      <c r="Z109" s="883">
        <f t="shared" ca="1" si="28"/>
        <v>5.4553951890182563E-2</v>
      </c>
      <c r="AA109" s="369">
        <f t="shared" ca="1" si="29"/>
        <v>1.2436354976712392E-2</v>
      </c>
      <c r="AB109" s="763">
        <f t="shared" ca="1" si="30"/>
        <v>8.9816831112424222E-3</v>
      </c>
      <c r="AC109" s="102"/>
      <c r="AD109" s="84"/>
      <c r="AJ109" s="102"/>
      <c r="AK109" s="102"/>
      <c r="AL109" s="102"/>
      <c r="AM109" s="102"/>
    </row>
    <row r="110" spans="1:39" outlineLevel="1" x14ac:dyDescent="0.3">
      <c r="A110" s="123" t="s">
        <v>931</v>
      </c>
      <c r="D110" s="694"/>
      <c r="H110" s="211"/>
      <c r="I110" s="208"/>
      <c r="K110" s="695"/>
      <c r="O110" s="102"/>
      <c r="Q110" s="119"/>
      <c r="S110" s="820"/>
      <c r="T110" s="1556">
        <f>Inputs!C253</f>
        <v>300</v>
      </c>
      <c r="U110" s="810">
        <f>$T$110</f>
        <v>300</v>
      </c>
      <c r="V110" s="1532">
        <f>Inputs!C254</f>
        <v>100</v>
      </c>
      <c r="W110" s="1019">
        <f t="shared" ca="1" si="26"/>
        <v>5000</v>
      </c>
      <c r="X110" s="1536">
        <f>Inputs!C255</f>
        <v>0.5</v>
      </c>
      <c r="Y110" s="806">
        <f t="shared" ca="1" si="27"/>
        <v>92.401776651675462</v>
      </c>
      <c r="Z110" s="883">
        <f t="shared" ca="1" si="28"/>
        <v>2.0533728144816771E-2</v>
      </c>
      <c r="AA110" s="369">
        <f t="shared" ca="1" si="29"/>
        <v>4.6809575357309053E-3</v>
      </c>
      <c r="AB110" s="763">
        <f t="shared" ca="1" si="30"/>
        <v>3.3806430679925357E-3</v>
      </c>
      <c r="AC110" s="102"/>
      <c r="AD110" s="84"/>
      <c r="AJ110" s="102"/>
      <c r="AK110" s="102"/>
      <c r="AL110" s="102"/>
      <c r="AM110" s="102"/>
    </row>
    <row r="111" spans="1:39" outlineLevel="1" x14ac:dyDescent="0.3">
      <c r="A111" s="123" t="s">
        <v>932</v>
      </c>
      <c r="D111" s="694"/>
      <c r="H111" s="211"/>
      <c r="I111" s="208"/>
      <c r="K111" s="695"/>
      <c r="L111" s="820" t="s">
        <v>522</v>
      </c>
      <c r="M111" s="1532">
        <f>Inputs!C258</f>
        <v>30</v>
      </c>
      <c r="N111" s="450">
        <f ca="1">N</f>
        <v>30</v>
      </c>
      <c r="O111" s="102" t="s">
        <v>294</v>
      </c>
      <c r="P111" s="1555">
        <f>Inputs!C259</f>
        <v>0.47574149237192276</v>
      </c>
      <c r="Q111" s="1579">
        <f>Inputs!C260</f>
        <v>5</v>
      </c>
      <c r="R111" s="122">
        <f ca="1">Q111*P111^LOG(N111/M111)</f>
        <v>5</v>
      </c>
      <c r="S111" s="820" t="s">
        <v>525</v>
      </c>
      <c r="T111" s="902">
        <f>IF(M111=0,Q111,M111*Q111)</f>
        <v>150</v>
      </c>
      <c r="U111" s="806">
        <f ca="1">IF(N111=0,R111,N111*R111)</f>
        <v>150</v>
      </c>
      <c r="V111" s="1532">
        <f>Inputs!C261</f>
        <v>100</v>
      </c>
      <c r="W111" s="1019">
        <f t="shared" ca="1" si="26"/>
        <v>5000</v>
      </c>
      <c r="X111" s="1536">
        <f>Inputs!C262</f>
        <v>0.5</v>
      </c>
      <c r="Y111" s="806">
        <f t="shared" ca="1" si="27"/>
        <v>46.200888325837731</v>
      </c>
      <c r="Z111" s="883">
        <f t="shared" ca="1" si="28"/>
        <v>1.0266864072408385E-2</v>
      </c>
      <c r="AA111" s="369">
        <f t="shared" ca="1" si="29"/>
        <v>2.3404787678654526E-3</v>
      </c>
      <c r="AB111" s="763">
        <f t="shared" ca="1" si="30"/>
        <v>1.6903215339962678E-3</v>
      </c>
      <c r="AC111" s="102"/>
      <c r="AD111" s="84" t="s">
        <v>246</v>
      </c>
      <c r="AJ111" s="102"/>
      <c r="AK111" s="102"/>
      <c r="AL111" s="102"/>
      <c r="AM111" s="102"/>
    </row>
    <row r="112" spans="1:39" outlineLevel="1" x14ac:dyDescent="0.3">
      <c r="A112" s="123" t="s">
        <v>935</v>
      </c>
      <c r="D112" s="694"/>
      <c r="H112" s="211"/>
      <c r="I112" s="208"/>
      <c r="K112" s="695"/>
      <c r="L112" s="820" t="s">
        <v>522</v>
      </c>
      <c r="M112" s="1532">
        <f>Inputs!C265</f>
        <v>30</v>
      </c>
      <c r="N112" s="450">
        <f ca="1">N</f>
        <v>30</v>
      </c>
      <c r="O112" s="102" t="s">
        <v>294</v>
      </c>
      <c r="P112" s="1577">
        <f>Inputs!C266</f>
        <v>0.8</v>
      </c>
      <c r="Q112" s="905">
        <f ca="1">Q113/2*(2+greenfield)/3</f>
        <v>217.74262389842022</v>
      </c>
      <c r="R112" s="122">
        <f ca="1">Q112*P112^LOG(N112/M112)</f>
        <v>217.74262389842022</v>
      </c>
      <c r="S112" s="820" t="s">
        <v>525</v>
      </c>
      <c r="T112" s="902">
        <f ca="1">IF(M112=0,Q112,M112*Q112)*(1-offshore_floating)</f>
        <v>6532.2787169526064</v>
      </c>
      <c r="U112" s="806">
        <f ca="1">IF(N112=0,R112,N112*R112)*(1-offshore_floating)</f>
        <v>6532.2787169526064</v>
      </c>
      <c r="V112" s="1532">
        <f>Inputs!C267</f>
        <v>100</v>
      </c>
      <c r="W112" s="1019">
        <f t="shared" ca="1" si="26"/>
        <v>5000</v>
      </c>
      <c r="X112" s="1578">
        <f>Inputs!C268</f>
        <v>0.7</v>
      </c>
      <c r="Y112" s="806">
        <f t="shared" ca="1" si="27"/>
        <v>3563.6161885789597</v>
      </c>
      <c r="Z112" s="883">
        <f t="shared" ca="1" si="28"/>
        <v>0.7919147085731022</v>
      </c>
      <c r="AA112" s="369">
        <f t="shared" ca="1" si="29"/>
        <v>0.18052830429076885</v>
      </c>
      <c r="AB112" s="763">
        <f t="shared" ca="1" si="30"/>
        <v>0.13037968317773677</v>
      </c>
      <c r="AC112" s="102"/>
      <c r="AD112" s="84" t="s">
        <v>911</v>
      </c>
      <c r="AJ112" s="102"/>
      <c r="AK112" s="102"/>
      <c r="AL112" s="102"/>
      <c r="AM112" s="102"/>
    </row>
    <row r="113" spans="1:39" outlineLevel="1" x14ac:dyDescent="0.3">
      <c r="A113" s="123" t="s">
        <v>936</v>
      </c>
      <c r="B113" s="726"/>
      <c r="C113" s="726"/>
      <c r="D113" s="694" t="s">
        <v>916</v>
      </c>
      <c r="E113" s="1574">
        <f>Inputs!C271</f>
        <v>5</v>
      </c>
      <c r="F113" s="699">
        <f ca="1">P/1000</f>
        <v>0.15</v>
      </c>
      <c r="G113" s="102" t="s">
        <v>503</v>
      </c>
      <c r="H113" s="1575">
        <f>Inputs!C272</f>
        <v>0.41115610581226464</v>
      </c>
      <c r="I113" s="1576">
        <f>Inputs!C273</f>
        <v>3750</v>
      </c>
      <c r="J113" s="1120">
        <f ca="1">I113*(10*H113)^LOG(F113/E113)</f>
        <v>435.48524779684044</v>
      </c>
      <c r="K113" s="695" t="s">
        <v>525</v>
      </c>
      <c r="L113" s="820" t="s">
        <v>522</v>
      </c>
      <c r="M113" s="1532">
        <f>Inputs!C275</f>
        <v>30</v>
      </c>
      <c r="N113" s="450">
        <f ca="1">N</f>
        <v>30</v>
      </c>
      <c r="O113" s="102" t="s">
        <v>294</v>
      </c>
      <c r="P113" s="1577">
        <f>Inputs!C276</f>
        <v>0.8</v>
      </c>
      <c r="Q113" s="708">
        <f ca="1">J113*(2+greenfield)/3</f>
        <v>435.48524779684044</v>
      </c>
      <c r="R113" s="122">
        <f ca="1">Q113*P113^LOG(N113/M113)</f>
        <v>435.48524779684044</v>
      </c>
      <c r="S113" s="820" t="s">
        <v>525</v>
      </c>
      <c r="T113" s="902">
        <f ca="1">IF(M113=0,Q113,M113*Q113)*offshore_floating</f>
        <v>0</v>
      </c>
      <c r="U113" s="806">
        <f ca="1">IF(N113=0,R113,N113*R113)*offshore_floating</f>
        <v>0</v>
      </c>
      <c r="V113" s="1532">
        <f>Inputs!C277</f>
        <v>100</v>
      </c>
      <c r="W113" s="1019">
        <f t="shared" ca="1" si="26"/>
        <v>5000</v>
      </c>
      <c r="X113" s="1578">
        <f>Inputs!C278</f>
        <v>0.7</v>
      </c>
      <c r="Y113" s="806">
        <f t="shared" ca="1" si="27"/>
        <v>0</v>
      </c>
      <c r="Z113" s="883">
        <f t="shared" ca="1" si="28"/>
        <v>0</v>
      </c>
      <c r="AA113" s="369">
        <f t="shared" ca="1" si="29"/>
        <v>0</v>
      </c>
      <c r="AB113" s="763">
        <f t="shared" ca="1" si="30"/>
        <v>0</v>
      </c>
      <c r="AC113" s="102"/>
      <c r="AD113" s="84"/>
      <c r="AJ113" s="102"/>
      <c r="AK113" s="102"/>
      <c r="AL113" s="102"/>
      <c r="AM113" s="102"/>
    </row>
    <row r="114" spans="1:39" outlineLevel="1" x14ac:dyDescent="0.3">
      <c r="A114" s="123" t="s">
        <v>937</v>
      </c>
      <c r="B114" s="726"/>
      <c r="C114" s="726"/>
      <c r="D114" s="694" t="s">
        <v>916</v>
      </c>
      <c r="E114" s="1574">
        <f>Inputs!C281</f>
        <v>5</v>
      </c>
      <c r="F114" s="699">
        <f ca="1">P/1000</f>
        <v>0.15</v>
      </c>
      <c r="G114" s="102" t="s">
        <v>503</v>
      </c>
      <c r="H114" s="1575">
        <f>Inputs!C282</f>
        <v>0.26413892246963883</v>
      </c>
      <c r="I114" s="1576">
        <f>Inputs!C283</f>
        <v>1375</v>
      </c>
      <c r="J114" s="1120">
        <f ca="1">I114*(10*H114)^LOG(F114/E114)</f>
        <v>313.25866971860222</v>
      </c>
      <c r="K114" s="695" t="s">
        <v>525</v>
      </c>
      <c r="L114" s="820" t="s">
        <v>522</v>
      </c>
      <c r="M114" s="1532">
        <f>Inputs!C285</f>
        <v>30</v>
      </c>
      <c r="N114" s="450">
        <f ca="1">N</f>
        <v>30</v>
      </c>
      <c r="O114" s="102" t="s">
        <v>294</v>
      </c>
      <c r="P114" s="1577">
        <f>Inputs!C286</f>
        <v>0.8</v>
      </c>
      <c r="Q114" s="708">
        <f ca="1">J114*(2+greenfield)/3</f>
        <v>313.25866971860222</v>
      </c>
      <c r="R114" s="122">
        <f ca="1">Q114*P114^LOG(N114/M114)</f>
        <v>313.25866971860222</v>
      </c>
      <c r="S114" s="820" t="s">
        <v>525</v>
      </c>
      <c r="T114" s="902">
        <f ca="1">IF(M114=0,Q114,M114*Q114)*offshore_floating</f>
        <v>0</v>
      </c>
      <c r="U114" s="806">
        <f ca="1">IF(N114=0,R114,N114*R114)*offshore_floating</f>
        <v>0</v>
      </c>
      <c r="V114" s="1532">
        <f>Inputs!C287</f>
        <v>100</v>
      </c>
      <c r="W114" s="1019">
        <f t="shared" ca="1" si="26"/>
        <v>5000</v>
      </c>
      <c r="X114" s="1578">
        <f>Inputs!C288</f>
        <v>0.7</v>
      </c>
      <c r="Y114" s="806">
        <f t="shared" ca="1" si="27"/>
        <v>0</v>
      </c>
      <c r="Z114" s="883">
        <f t="shared" ca="1" si="28"/>
        <v>0</v>
      </c>
      <c r="AA114" s="369">
        <f t="shared" ca="1" si="29"/>
        <v>0</v>
      </c>
      <c r="AB114" s="763">
        <f t="shared" ca="1" si="30"/>
        <v>0</v>
      </c>
      <c r="AC114" s="102"/>
      <c r="AD114" s="84"/>
      <c r="AJ114" s="102"/>
      <c r="AK114" s="102"/>
      <c r="AL114" s="102"/>
      <c r="AM114" s="102"/>
    </row>
    <row r="115" spans="1:39" outlineLevel="1" x14ac:dyDescent="0.3">
      <c r="A115" s="868" t="s">
        <v>649</v>
      </c>
      <c r="D115" s="694"/>
      <c r="H115" s="211"/>
      <c r="I115" s="208"/>
      <c r="K115" s="695"/>
      <c r="M115" s="714"/>
      <c r="N115" s="714"/>
      <c r="O115" s="102"/>
      <c r="P115" s="702"/>
      <c r="R115" s="906"/>
      <c r="S115" s="820"/>
      <c r="T115" s="212"/>
      <c r="U115" s="802"/>
      <c r="W115" s="869"/>
      <c r="X115" s="650"/>
      <c r="Y115" s="802"/>
      <c r="Z115" s="883"/>
      <c r="AA115" s="369"/>
      <c r="AB115" s="763">
        <f t="shared" ca="1" si="30"/>
        <v>0</v>
      </c>
      <c r="AC115" s="102"/>
      <c r="AD115" s="102" t="s">
        <v>278</v>
      </c>
      <c r="AJ115" s="102"/>
      <c r="AK115" s="102"/>
      <c r="AL115" s="102"/>
      <c r="AM115" s="102"/>
    </row>
    <row r="116" spans="1:39" outlineLevel="1" x14ac:dyDescent="0.3">
      <c r="A116" s="868" t="s">
        <v>669</v>
      </c>
      <c r="D116" s="694"/>
      <c r="H116" s="211"/>
      <c r="I116" s="208"/>
      <c r="K116" s="695"/>
      <c r="M116" s="714"/>
      <c r="N116" s="714"/>
      <c r="O116" s="102"/>
      <c r="P116" s="702"/>
      <c r="Q116" s="907"/>
      <c r="R116" s="906"/>
      <c r="S116" s="820"/>
      <c r="T116" s="212"/>
      <c r="U116" s="802"/>
      <c r="W116" s="869"/>
      <c r="X116" s="650"/>
      <c r="Y116" s="802"/>
      <c r="Z116" s="883"/>
      <c r="AA116" s="369"/>
      <c r="AB116" s="763">
        <f t="shared" ca="1" si="30"/>
        <v>0</v>
      </c>
      <c r="AC116" s="102"/>
      <c r="AD116" s="102"/>
      <c r="AJ116" s="102"/>
      <c r="AK116" s="102"/>
      <c r="AL116" s="102"/>
      <c r="AM116" s="102"/>
    </row>
    <row r="117" spans="1:39" ht="15.75" outlineLevel="1" thickBot="1" x14ac:dyDescent="0.35">
      <c r="A117" s="123" t="s">
        <v>207</v>
      </c>
      <c r="D117" s="694" t="s">
        <v>916</v>
      </c>
      <c r="E117" s="1574">
        <f>Inputs!C291</f>
        <v>5</v>
      </c>
      <c r="F117" s="699">
        <f ca="1">P/1000</f>
        <v>0.15</v>
      </c>
      <c r="G117" s="102" t="s">
        <v>503</v>
      </c>
      <c r="H117" s="1575">
        <f>Inputs!C292</f>
        <v>0.1486703188727227</v>
      </c>
      <c r="I117" s="1576">
        <f>Inputs!C293</f>
        <v>300</v>
      </c>
      <c r="J117" s="1120">
        <f ca="1">I117*(10*H117)^LOG(F117/E117)</f>
        <v>164.00027265424316</v>
      </c>
      <c r="K117" s="695" t="s">
        <v>525</v>
      </c>
      <c r="L117" s="820" t="s">
        <v>522</v>
      </c>
      <c r="M117" s="1532">
        <f>Inputs!C295</f>
        <v>30</v>
      </c>
      <c r="N117" s="450">
        <f ca="1">N</f>
        <v>30</v>
      </c>
      <c r="O117" s="102" t="s">
        <v>294</v>
      </c>
      <c r="P117" s="1577">
        <f>Inputs!C296</f>
        <v>0.8</v>
      </c>
      <c r="Q117" s="708">
        <f ca="1">J117</f>
        <v>164.00027265424316</v>
      </c>
      <c r="R117" s="122">
        <f ca="1">Q117*P117^LOG(N117/M117)</f>
        <v>164.00027265424316</v>
      </c>
      <c r="S117" s="820" t="s">
        <v>525</v>
      </c>
      <c r="T117" s="902">
        <f ca="1">IF(M117=0,Q117,M117*Q117)</f>
        <v>4920.0081796272952</v>
      </c>
      <c r="U117" s="806">
        <f ca="1">IF(N117=0,R117,N117*R117)</f>
        <v>4920.0081796272952</v>
      </c>
      <c r="V117" s="1532">
        <f>Inputs!C297</f>
        <v>100</v>
      </c>
      <c r="W117" s="1021">
        <f ca="1">Qoffshore</f>
        <v>5000</v>
      </c>
      <c r="X117" s="1578">
        <f>Inputs!C298</f>
        <v>0.7</v>
      </c>
      <c r="Y117" s="806">
        <f t="shared" ca="1" si="27"/>
        <v>2684.0588953069214</v>
      </c>
      <c r="Z117" s="883">
        <f ca="1">Y117/Pp/1000</f>
        <v>0.59645753229042697</v>
      </c>
      <c r="AA117" s="369">
        <f ca="1">Y117/$Y$118</f>
        <v>0.13597104046705241</v>
      </c>
      <c r="AB117" s="763">
        <f t="shared" ca="1" si="30"/>
        <v>9.8199898609184544E-2</v>
      </c>
      <c r="AC117" s="102"/>
      <c r="AD117" s="102"/>
      <c r="AJ117" s="102"/>
      <c r="AK117" s="102"/>
      <c r="AL117" s="102"/>
      <c r="AM117" s="102"/>
    </row>
    <row r="118" spans="1:39" ht="16.5" customHeight="1" thickBot="1" x14ac:dyDescent="0.35">
      <c r="A118" s="854" t="s">
        <v>797</v>
      </c>
      <c r="B118" s="856"/>
      <c r="C118" s="856"/>
      <c r="D118" s="854"/>
      <c r="E118" s="855"/>
      <c r="F118" s="855"/>
      <c r="G118" s="855"/>
      <c r="H118" s="858"/>
      <c r="I118" s="858"/>
      <c r="J118" s="858"/>
      <c r="K118" s="871"/>
      <c r="L118" s="859"/>
      <c r="M118" s="959">
        <f>M105</f>
        <v>225</v>
      </c>
      <c r="N118" s="959">
        <f ca="1">N105</f>
        <v>4.5</v>
      </c>
      <c r="O118" s="894" t="s">
        <v>503</v>
      </c>
      <c r="P118" s="960"/>
      <c r="Q118" s="864"/>
      <c r="R118" s="864"/>
      <c r="S118" s="861"/>
      <c r="T118" s="865">
        <f ca="1">SUM(T103:T117)</f>
        <v>131247.02967348433</v>
      </c>
      <c r="U118" s="866">
        <f ca="1">SUM(U103:U117)</f>
        <v>36380.170415697314</v>
      </c>
      <c r="V118" s="961">
        <v>100</v>
      </c>
      <c r="W118" s="962">
        <f ca="1">Qoffshore</f>
        <v>5000</v>
      </c>
      <c r="X118" s="960">
        <f ca="1">IFERROR(10^(LOG(Y118/U118)/LOG(W118/V118)),)</f>
        <v>0.69777852699676535</v>
      </c>
      <c r="Y118" s="818">
        <f ca="1">SUM(Y103:Y117)</f>
        <v>19739.930547617634</v>
      </c>
      <c r="Z118" s="819">
        <f ca="1">Y118/Pp/1000</f>
        <v>4.3866512328039189</v>
      </c>
      <c r="AA118" s="867">
        <f ca="1">Y118/$Y$118</f>
        <v>1</v>
      </c>
      <c r="AB118" s="872">
        <f t="shared" ca="1" si="30"/>
        <v>0.72221186417250138</v>
      </c>
      <c r="AC118" s="102"/>
      <c r="AD118" s="102"/>
      <c r="AJ118" s="102"/>
      <c r="AK118" s="102"/>
      <c r="AL118" s="102"/>
      <c r="AM118" s="102"/>
    </row>
    <row r="119" spans="1:39" outlineLevel="1" x14ac:dyDescent="0.3">
      <c r="A119" s="123" t="s">
        <v>842</v>
      </c>
      <c r="M119" s="708">
        <f t="shared" ref="M119:N121" si="32">M118</f>
        <v>225</v>
      </c>
      <c r="N119" s="708">
        <f t="shared" ca="1" si="32"/>
        <v>4.5</v>
      </c>
      <c r="O119" s="102" t="s">
        <v>503</v>
      </c>
      <c r="Q119" s="366"/>
      <c r="R119" s="366"/>
      <c r="S119" s="820"/>
      <c r="T119" s="119">
        <f>T104+T105</f>
        <v>86400</v>
      </c>
      <c r="U119" s="119">
        <f ca="1">U104+U105</f>
        <v>8196.5647952506715</v>
      </c>
      <c r="Y119" s="119">
        <f ca="1">Y104+Y105</f>
        <v>4471.5500150486923</v>
      </c>
      <c r="Z119" s="366">
        <f ca="1">Z104+Z105</f>
        <v>0.99367778112193161</v>
      </c>
      <c r="AA119" s="369"/>
      <c r="AB119" s="369"/>
      <c r="AC119" s="102"/>
      <c r="AD119" s="102"/>
      <c r="AE119" s="102" t="s">
        <v>46</v>
      </c>
      <c r="AJ119" s="102"/>
      <c r="AK119" s="102"/>
      <c r="AL119" s="102"/>
      <c r="AM119" s="102"/>
    </row>
    <row r="120" spans="1:39" outlineLevel="1" x14ac:dyDescent="0.3">
      <c r="A120" s="123" t="s">
        <v>848</v>
      </c>
      <c r="M120" s="708">
        <f t="shared" si="32"/>
        <v>225</v>
      </c>
      <c r="N120" s="708">
        <f t="shared" ca="1" si="32"/>
        <v>4.5</v>
      </c>
      <c r="O120" s="102" t="s">
        <v>503</v>
      </c>
      <c r="Q120" s="366"/>
      <c r="R120" s="366"/>
      <c r="S120" s="820"/>
      <c r="T120" s="119">
        <f ca="1">SUM(T103,T106:T108,T112:T114)</f>
        <v>39027.021493857043</v>
      </c>
      <c r="U120" s="119">
        <f ca="1">SUM(U103,U106:U108,U112:U114)</f>
        <v>22363.597440819347</v>
      </c>
      <c r="Y120" s="119">
        <f ca="1">SUM(Y103,Y106:Y108,Y112:Y114)</f>
        <v>12200.226188778684</v>
      </c>
      <c r="Z120" s="366">
        <f ca="1">SUM(Z103,Z106:Z108,Z112:Z114)</f>
        <v>2.7111613752841519</v>
      </c>
      <c r="AA120" s="369"/>
      <c r="AB120" s="369"/>
      <c r="AC120" s="102"/>
      <c r="AD120" s="102"/>
      <c r="AJ120" s="102"/>
      <c r="AK120" s="102"/>
      <c r="AL120" s="102"/>
      <c r="AM120" s="102"/>
    </row>
    <row r="121" spans="1:39" outlineLevel="1" x14ac:dyDescent="0.3">
      <c r="A121" s="123" t="s">
        <v>843</v>
      </c>
      <c r="M121" s="708">
        <f t="shared" si="32"/>
        <v>225</v>
      </c>
      <c r="N121" s="708">
        <f t="shared" ca="1" si="32"/>
        <v>4.5</v>
      </c>
      <c r="O121" s="102" t="s">
        <v>503</v>
      </c>
      <c r="Q121" s="366"/>
      <c r="R121" s="366"/>
      <c r="S121" s="820"/>
      <c r="T121" s="119">
        <f ca="1">T115+T116+T117+T109+T110+T111</f>
        <v>5820.0081796272952</v>
      </c>
      <c r="U121" s="119">
        <f ca="1">U115+U116+U117+U109+U110+U111</f>
        <v>5820.0081796272952</v>
      </c>
      <c r="Y121" s="119">
        <f ca="1">Y115+Y116+Y117+Y109+Y110+Y111</f>
        <v>3068.154343790256</v>
      </c>
      <c r="Z121" s="366">
        <f ca="1">Z115+Z116+Z117+Z109+Z110+Z111</f>
        <v>0.6818120763978347</v>
      </c>
      <c r="AA121" s="369"/>
      <c r="AB121" s="369"/>
      <c r="AC121" s="102"/>
      <c r="AD121" s="102"/>
      <c r="AJ121" s="102"/>
      <c r="AK121" s="102"/>
      <c r="AL121" s="102"/>
      <c r="AM121" s="102"/>
    </row>
    <row r="122" spans="1:39" outlineLevel="1" x14ac:dyDescent="0.3">
      <c r="A122" s="1294" t="s">
        <v>297</v>
      </c>
      <c r="B122" s="1295"/>
      <c r="C122" s="1295"/>
      <c r="D122" s="1294"/>
      <c r="E122" s="1294"/>
      <c r="F122" s="1294"/>
      <c r="G122" s="1294"/>
      <c r="H122" s="1294"/>
      <c r="I122" s="1294"/>
      <c r="J122" s="1294"/>
      <c r="K122" s="1294"/>
      <c r="L122" s="1296"/>
      <c r="M122" s="1295"/>
      <c r="N122" s="1295"/>
      <c r="O122" s="1294"/>
      <c r="P122" s="1295"/>
      <c r="Q122" s="1295"/>
      <c r="R122" s="1295"/>
      <c r="S122" s="1296"/>
      <c r="T122" s="1295">
        <f ca="1">SUM(T119:T121)</f>
        <v>131247.02967348433</v>
      </c>
      <c r="U122" s="1295">
        <f ca="1">SUM(U119:U121)</f>
        <v>36380.170415697314</v>
      </c>
      <c r="V122" s="1295"/>
      <c r="W122" s="1295"/>
      <c r="X122" s="1297"/>
      <c r="Y122" s="1295">
        <f ca="1">SUM(Y119:Y121)</f>
        <v>19739.930547617631</v>
      </c>
      <c r="Z122" s="1298">
        <f ca="1">SUM(Z119:Z121)</f>
        <v>4.386651232803918</v>
      </c>
      <c r="AA122" s="1299"/>
      <c r="AB122" s="1299"/>
      <c r="AC122" s="102"/>
      <c r="AD122" s="102"/>
      <c r="AE122" s="84"/>
      <c r="AJ122" s="102"/>
      <c r="AK122" s="102"/>
      <c r="AL122" s="102"/>
      <c r="AM122" s="102"/>
    </row>
    <row r="123" spans="1:39" ht="15.75" thickBot="1" x14ac:dyDescent="0.35">
      <c r="O123" s="102"/>
      <c r="Q123" s="119"/>
      <c r="S123" s="820"/>
      <c r="Z123" s="83"/>
      <c r="AC123" s="83"/>
      <c r="AD123" s="102"/>
      <c r="AJ123" s="102"/>
      <c r="AK123" s="102"/>
      <c r="AL123" s="102"/>
      <c r="AM123" s="102"/>
    </row>
    <row r="124" spans="1:39" ht="28.5" customHeight="1" x14ac:dyDescent="0.3">
      <c r="A124" s="774" t="s">
        <v>956</v>
      </c>
      <c r="B124" s="777"/>
      <c r="C124" s="777"/>
      <c r="D124" s="775"/>
      <c r="E124" s="775"/>
      <c r="F124" s="775"/>
      <c r="G124" s="775"/>
      <c r="H124" s="775"/>
      <c r="I124" s="775"/>
      <c r="J124" s="775"/>
      <c r="K124" s="775"/>
      <c r="L124" s="989"/>
      <c r="M124" s="777"/>
      <c r="N124" s="777"/>
      <c r="O124" s="775"/>
      <c r="P124" s="777"/>
      <c r="Q124" s="777"/>
      <c r="R124" s="777"/>
      <c r="S124" s="989"/>
      <c r="T124" s="768"/>
      <c r="U124" s="768"/>
      <c r="V124" s="777"/>
      <c r="W124" s="777"/>
      <c r="X124" s="777"/>
      <c r="Y124" s="777" t="s">
        <v>498</v>
      </c>
      <c r="Z124" s="990" t="s">
        <v>498</v>
      </c>
      <c r="AA124" s="888"/>
      <c r="AB124" s="771" t="s">
        <v>653</v>
      </c>
      <c r="AC124" s="102"/>
      <c r="AD124" s="102"/>
      <c r="AE124" s="84"/>
      <c r="AJ124" s="102"/>
      <c r="AK124" s="102"/>
      <c r="AL124" s="102"/>
      <c r="AM124" s="102"/>
    </row>
    <row r="125" spans="1:39" ht="18.399999999999999" customHeight="1" x14ac:dyDescent="0.3">
      <c r="A125" s="692"/>
      <c r="B125" s="227"/>
      <c r="C125" s="227"/>
      <c r="D125" s="221"/>
      <c r="E125" s="221"/>
      <c r="F125" s="221"/>
      <c r="G125" s="221"/>
      <c r="H125" s="221"/>
      <c r="I125" s="221"/>
      <c r="J125" s="221"/>
      <c r="K125" s="221"/>
      <c r="L125" s="224"/>
      <c r="M125" s="227"/>
      <c r="N125" s="227"/>
      <c r="O125" s="221"/>
      <c r="P125" s="227"/>
      <c r="Q125" s="227"/>
      <c r="R125" s="227"/>
      <c r="S125" s="224"/>
      <c r="T125" s="227"/>
      <c r="U125" s="227"/>
      <c r="V125" s="227"/>
      <c r="W125" s="227"/>
      <c r="X125" s="227"/>
      <c r="Y125" s="227" t="s">
        <v>305</v>
      </c>
      <c r="Z125" s="746" t="s">
        <v>528</v>
      </c>
      <c r="AA125" s="380"/>
      <c r="AB125" s="887" t="s">
        <v>415</v>
      </c>
      <c r="AC125" s="102"/>
      <c r="AD125" s="102"/>
      <c r="AE125" s="84" t="s">
        <v>46</v>
      </c>
      <c r="AF125" s="120"/>
      <c r="AG125" s="120"/>
      <c r="AH125" s="120"/>
      <c r="AI125" s="120"/>
      <c r="AJ125" s="102"/>
      <c r="AK125" s="102"/>
      <c r="AL125" s="102"/>
      <c r="AM125" s="102"/>
    </row>
    <row r="126" spans="1:39" ht="14.45" customHeight="1" x14ac:dyDescent="0.3">
      <c r="A126" s="779" t="str">
        <f>A52</f>
        <v>RPA</v>
      </c>
      <c r="Q126" s="735"/>
      <c r="R126" s="735"/>
      <c r="S126" s="820"/>
      <c r="T126" s="907"/>
      <c r="U126" s="907"/>
      <c r="Y126" s="907">
        <f ca="1">Y52*N/1000</f>
        <v>2.4592512882426636</v>
      </c>
      <c r="Z126" s="735">
        <f t="shared" ref="Z126:Z135" ca="1" si="33">Y126/Pp</f>
        <v>0.54650028627614744</v>
      </c>
      <c r="AA126" s="369"/>
      <c r="AB126" s="763">
        <f t="shared" ref="AB126:AB135" ca="1" si="34">Y126/$Y$135</f>
        <v>0.22543404360247005</v>
      </c>
      <c r="AC126" s="102"/>
      <c r="AD126" s="102"/>
      <c r="AE126" s="84"/>
      <c r="AF126" s="120"/>
      <c r="AG126" s="120"/>
      <c r="AH126" s="120"/>
      <c r="AI126" s="120"/>
      <c r="AJ126" s="102"/>
      <c r="AK126" s="102"/>
      <c r="AL126" s="102"/>
      <c r="AM126" s="102"/>
    </row>
    <row r="127" spans="1:39" ht="14.45" customHeight="1" x14ac:dyDescent="0.3">
      <c r="A127" s="779" t="str">
        <f>A56</f>
        <v>Tether</v>
      </c>
      <c r="Q127" s="735"/>
      <c r="R127" s="735"/>
      <c r="S127" s="820"/>
      <c r="T127" s="907"/>
      <c r="U127" s="907"/>
      <c r="Y127" s="907">
        <f ca="1">Y56*N/1000</f>
        <v>6.7532274301514705E-2</v>
      </c>
      <c r="Z127" s="735">
        <f t="shared" ca="1" si="33"/>
        <v>1.5007172067003268E-2</v>
      </c>
      <c r="AA127" s="369"/>
      <c r="AB127" s="763">
        <f t="shared" ca="1" si="34"/>
        <v>6.1905319485836205E-3</v>
      </c>
      <c r="AC127" s="102"/>
      <c r="AD127" s="102"/>
      <c r="AE127" s="84"/>
      <c r="AF127" s="120"/>
      <c r="AG127" s="120"/>
      <c r="AH127" s="120"/>
      <c r="AI127" s="120"/>
      <c r="AJ127" s="102"/>
      <c r="AK127" s="102"/>
      <c r="AL127" s="102"/>
      <c r="AM127" s="102"/>
    </row>
    <row r="128" spans="1:39" ht="14.45" customHeight="1" x14ac:dyDescent="0.3">
      <c r="A128" s="779" t="str">
        <f>A65</f>
        <v>PGA</v>
      </c>
      <c r="Q128" s="735"/>
      <c r="R128" s="735"/>
      <c r="S128" s="820"/>
      <c r="T128" s="907"/>
      <c r="U128" s="907"/>
      <c r="Y128" s="907">
        <f ca="1">Y65*N/1000</f>
        <v>2.9854113491784893</v>
      </c>
      <c r="Z128" s="735">
        <f t="shared" ca="1" si="33"/>
        <v>0.66342474426188647</v>
      </c>
      <c r="AA128" s="369"/>
      <c r="AB128" s="763">
        <f t="shared" ca="1" si="34"/>
        <v>0.27366595495124685</v>
      </c>
      <c r="AC128" s="102"/>
      <c r="AD128" s="102"/>
      <c r="AE128" s="84"/>
      <c r="AF128" s="120"/>
      <c r="AG128" s="120"/>
      <c r="AH128" s="120"/>
      <c r="AI128" s="120"/>
      <c r="AJ128" s="102"/>
      <c r="AK128" s="102"/>
      <c r="AL128" s="102"/>
      <c r="AM128" s="102"/>
    </row>
    <row r="129" spans="1:39" ht="14.45" customHeight="1" x14ac:dyDescent="0.3">
      <c r="A129" s="991" t="str">
        <f>A70</f>
        <v>LLA</v>
      </c>
      <c r="B129" s="717"/>
      <c r="C129" s="717"/>
      <c r="D129" s="203"/>
      <c r="E129" s="203"/>
      <c r="F129" s="203"/>
      <c r="G129" s="203"/>
      <c r="H129" s="203"/>
      <c r="I129" s="203"/>
      <c r="J129" s="203"/>
      <c r="K129" s="203"/>
      <c r="L129" s="825"/>
      <c r="M129" s="717"/>
      <c r="N129" s="717"/>
      <c r="O129" s="717"/>
      <c r="Q129" s="735"/>
      <c r="R129" s="735"/>
      <c r="S129" s="820"/>
      <c r="T129" s="913"/>
      <c r="U129" s="913"/>
      <c r="V129" s="717"/>
      <c r="W129" s="717"/>
      <c r="Y129" s="913">
        <f ca="1">Y70*N/1000</f>
        <v>2.0804780700067611</v>
      </c>
      <c r="Z129" s="735">
        <f t="shared" ca="1" si="33"/>
        <v>0.46232846000150246</v>
      </c>
      <c r="AA129" s="369"/>
      <c r="AB129" s="763">
        <f t="shared" ca="1" si="34"/>
        <v>0.19071275318230427</v>
      </c>
      <c r="AC129" s="102"/>
    </row>
    <row r="130" spans="1:39" ht="14.45" customHeight="1" x14ac:dyDescent="0.3">
      <c r="A130" s="992" t="s">
        <v>513</v>
      </c>
      <c r="B130" s="963"/>
      <c r="C130" s="963"/>
      <c r="D130" s="964"/>
      <c r="E130" s="964"/>
      <c r="F130" s="964"/>
      <c r="G130" s="964"/>
      <c r="H130" s="964"/>
      <c r="I130" s="964"/>
      <c r="J130" s="964"/>
      <c r="K130" s="964"/>
      <c r="L130" s="965"/>
      <c r="M130" s="963"/>
      <c r="N130" s="963"/>
      <c r="O130" s="963"/>
      <c r="P130" s="997"/>
      <c r="Q130" s="966"/>
      <c r="R130" s="966"/>
      <c r="S130" s="967"/>
      <c r="T130" s="968"/>
      <c r="U130" s="968"/>
      <c r="V130" s="963"/>
      <c r="W130" s="963"/>
      <c r="X130" s="969"/>
      <c r="Y130" s="968">
        <f ca="1">Y73*N/1000</f>
        <v>7.5926729817294278</v>
      </c>
      <c r="Z130" s="966">
        <f t="shared" ca="1" si="33"/>
        <v>1.6872606626065396</v>
      </c>
      <c r="AA130" s="970"/>
      <c r="AB130" s="993">
        <f t="shared" ca="1" si="34"/>
        <v>0.69600328368460473</v>
      </c>
      <c r="AC130" s="102"/>
    </row>
    <row r="131" spans="1:39" ht="14.45" customHeight="1" x14ac:dyDescent="0.3">
      <c r="A131" s="779" t="s">
        <v>842</v>
      </c>
      <c r="D131" s="203"/>
      <c r="E131" s="203"/>
      <c r="F131" s="203"/>
      <c r="G131" s="203"/>
      <c r="H131" s="203"/>
      <c r="I131" s="203"/>
      <c r="J131" s="203"/>
      <c r="K131" s="203"/>
      <c r="L131" s="825"/>
      <c r="M131" s="717"/>
      <c r="N131" s="717"/>
      <c r="O131" s="717"/>
      <c r="Q131" s="735"/>
      <c r="R131" s="735"/>
      <c r="S131" s="820"/>
      <c r="T131" s="913"/>
      <c r="U131" s="913"/>
      <c r="V131" s="717"/>
      <c r="W131" s="717"/>
      <c r="Y131" s="913">
        <f ca="1">IF(offshore,Y119,Y95)/1000</f>
        <v>0.19963725451724446</v>
      </c>
      <c r="Z131" s="735">
        <f t="shared" ca="1" si="33"/>
        <v>4.4363834337165432E-2</v>
      </c>
      <c r="AA131" s="369"/>
      <c r="AB131" s="763">
        <f t="shared" ca="1" si="34"/>
        <v>1.8300298857087387E-2</v>
      </c>
      <c r="AC131" s="102"/>
    </row>
    <row r="132" spans="1:39" ht="14.45" customHeight="1" x14ac:dyDescent="0.3">
      <c r="A132" s="779" t="s">
        <v>848</v>
      </c>
      <c r="D132" s="203"/>
      <c r="E132" s="203"/>
      <c r="F132" s="203"/>
      <c r="G132" s="203"/>
      <c r="H132" s="203"/>
      <c r="I132" s="203"/>
      <c r="J132" s="203"/>
      <c r="K132" s="203"/>
      <c r="L132" s="825"/>
      <c r="M132" s="717"/>
      <c r="N132" s="717"/>
      <c r="O132" s="717"/>
      <c r="Q132" s="735"/>
      <c r="R132" s="735"/>
      <c r="S132" s="820"/>
      <c r="T132" s="913"/>
      <c r="U132" s="913"/>
      <c r="V132" s="717"/>
      <c r="W132" s="717"/>
      <c r="Y132" s="913">
        <f ca="1">IF(offshore,Y120,Y96)/1000</f>
        <v>2.167440790320438</v>
      </c>
      <c r="Z132" s="735">
        <f t="shared" ca="1" si="33"/>
        <v>0.48165350896009734</v>
      </c>
      <c r="AA132" s="369"/>
      <c r="AB132" s="763">
        <f t="shared" ca="1" si="34"/>
        <v>0.19868443048779499</v>
      </c>
      <c r="AC132" s="102"/>
    </row>
    <row r="133" spans="1:39" ht="14.45" customHeight="1" x14ac:dyDescent="0.3">
      <c r="A133" s="779" t="s">
        <v>843</v>
      </c>
      <c r="D133" s="203"/>
      <c r="E133" s="203"/>
      <c r="F133" s="203"/>
      <c r="G133" s="203"/>
      <c r="H133" s="203"/>
      <c r="I133" s="203"/>
      <c r="J133" s="203"/>
      <c r="K133" s="203"/>
      <c r="L133" s="825"/>
      <c r="M133" s="717"/>
      <c r="N133" s="717"/>
      <c r="O133" s="717"/>
      <c r="Q133" s="735"/>
      <c r="R133" s="735"/>
      <c r="S133" s="820"/>
      <c r="T133" s="913"/>
      <c r="U133" s="913"/>
      <c r="V133" s="717"/>
      <c r="W133" s="717"/>
      <c r="Y133" s="913">
        <f ca="1">IF(offshore,Y121,Y97)/1000</f>
        <v>0.94921041041665855</v>
      </c>
      <c r="Z133" s="735">
        <f t="shared" ca="1" si="33"/>
        <v>0.21093564675925747</v>
      </c>
      <c r="AA133" s="369"/>
      <c r="AB133" s="763">
        <f t="shared" ca="1" si="34"/>
        <v>8.7011986970512822E-2</v>
      </c>
      <c r="AC133" s="102"/>
    </row>
    <row r="134" spans="1:39" ht="14.45" customHeight="1" thickBot="1" x14ac:dyDescent="0.35">
      <c r="A134" s="994" t="s">
        <v>650</v>
      </c>
      <c r="B134" s="971"/>
      <c r="C134" s="971"/>
      <c r="D134" s="972"/>
      <c r="E134" s="972"/>
      <c r="F134" s="972"/>
      <c r="G134" s="972"/>
      <c r="H134" s="972"/>
      <c r="I134" s="972"/>
      <c r="J134" s="972"/>
      <c r="K134" s="972"/>
      <c r="L134" s="973"/>
      <c r="M134" s="971"/>
      <c r="N134" s="971"/>
      <c r="O134" s="971"/>
      <c r="P134" s="998"/>
      <c r="Q134" s="974"/>
      <c r="R134" s="974"/>
      <c r="S134" s="975"/>
      <c r="T134" s="977"/>
      <c r="U134" s="977"/>
      <c r="V134" s="971"/>
      <c r="W134" s="971"/>
      <c r="X134" s="976"/>
      <c r="Y134" s="977">
        <f ca="1">IF(offshore,Y118,Y94)/1000</f>
        <v>3.316288455254341</v>
      </c>
      <c r="Z134" s="974">
        <f t="shared" ca="1" si="33"/>
        <v>0.73695299005652026</v>
      </c>
      <c r="AA134" s="978"/>
      <c r="AB134" s="995">
        <f t="shared" ca="1" si="34"/>
        <v>0.30399671631539521</v>
      </c>
      <c r="AC134" s="102"/>
      <c r="AE134" s="84" t="s">
        <v>46</v>
      </c>
    </row>
    <row r="135" spans="1:39" ht="14.45" customHeight="1" thickBot="1" x14ac:dyDescent="0.35">
      <c r="A135" s="979" t="s">
        <v>514</v>
      </c>
      <c r="B135" s="980"/>
      <c r="C135" s="980"/>
      <c r="D135" s="981"/>
      <c r="E135" s="981"/>
      <c r="F135" s="981"/>
      <c r="G135" s="981"/>
      <c r="H135" s="981"/>
      <c r="I135" s="981"/>
      <c r="J135" s="981"/>
      <c r="K135" s="981"/>
      <c r="L135" s="982"/>
      <c r="M135" s="983"/>
      <c r="N135" s="983"/>
      <c r="O135" s="983"/>
      <c r="P135" s="983"/>
      <c r="Q135" s="984"/>
      <c r="R135" s="984"/>
      <c r="S135" s="982"/>
      <c r="T135" s="986"/>
      <c r="U135" s="986"/>
      <c r="V135" s="983"/>
      <c r="W135" s="983"/>
      <c r="X135" s="985"/>
      <c r="Y135" s="986">
        <f ca="1">Y130+Y134</f>
        <v>10.90896143698377</v>
      </c>
      <c r="Z135" s="984">
        <f t="shared" ca="1" si="33"/>
        <v>2.42421365266306</v>
      </c>
      <c r="AA135" s="987"/>
      <c r="AB135" s="988">
        <f t="shared" ca="1" si="34"/>
        <v>1</v>
      </c>
      <c r="AC135" s="102"/>
      <c r="AD135" s="102"/>
      <c r="AG135" s="120"/>
      <c r="AH135" s="120"/>
      <c r="AI135" s="120"/>
      <c r="AK135" s="102"/>
      <c r="AL135" s="102"/>
      <c r="AM135" s="102"/>
    </row>
    <row r="136" spans="1:39" x14ac:dyDescent="0.3">
      <c r="P136" s="83"/>
      <c r="Q136" s="119"/>
      <c r="S136" s="820"/>
      <c r="Y136" s="119"/>
      <c r="AA136" s="369"/>
      <c r="AB136" s="369"/>
      <c r="AC136" s="102"/>
      <c r="AD136" s="102"/>
      <c r="AF136" s="120"/>
      <c r="AG136" s="120"/>
      <c r="AH136" s="120"/>
      <c r="AI136" s="120"/>
      <c r="AJ136" s="102"/>
      <c r="AK136" s="102"/>
      <c r="AL136" s="102"/>
      <c r="AM136" s="102"/>
    </row>
    <row r="137" spans="1:39" x14ac:dyDescent="0.3">
      <c r="Q137" s="119"/>
      <c r="S137" s="820"/>
      <c r="X137" s="119"/>
      <c r="Y137" s="119"/>
      <c r="AA137" s="369"/>
      <c r="AB137" s="369"/>
      <c r="AC137" s="102"/>
      <c r="AD137" s="102"/>
      <c r="AJ137" s="102"/>
      <c r="AK137" s="102"/>
      <c r="AL137" s="102"/>
      <c r="AM137" s="102"/>
    </row>
    <row r="138" spans="1:39" x14ac:dyDescent="0.3">
      <c r="G138" s="145"/>
      <c r="P138" s="178"/>
      <c r="Q138" s="119"/>
      <c r="S138" s="820"/>
      <c r="X138" s="119"/>
      <c r="Y138" s="119"/>
      <c r="AA138" s="369"/>
      <c r="AB138" s="369"/>
      <c r="AC138" s="658"/>
      <c r="AD138" s="102"/>
      <c r="AF138" s="120"/>
      <c r="AG138" s="120"/>
      <c r="AH138" s="120"/>
      <c r="AI138" s="120"/>
      <c r="AJ138" s="102"/>
      <c r="AK138" s="102"/>
      <c r="AL138" s="102"/>
      <c r="AM138" s="102"/>
    </row>
    <row r="139" spans="1:39" x14ac:dyDescent="0.3">
      <c r="A139" s="177" t="s">
        <v>515</v>
      </c>
      <c r="B139" s="177"/>
      <c r="C139" s="177"/>
      <c r="D139" s="177"/>
      <c r="E139" s="177"/>
      <c r="F139" s="177"/>
      <c r="G139" s="177"/>
      <c r="H139" s="177"/>
      <c r="I139" s="177"/>
      <c r="J139" s="177"/>
      <c r="K139" s="177"/>
      <c r="L139" s="177"/>
      <c r="M139" s="177"/>
      <c r="N139" s="177"/>
      <c r="O139" s="177"/>
      <c r="P139" s="177"/>
      <c r="Q139" s="736"/>
      <c r="R139" s="700"/>
      <c r="S139" s="821"/>
      <c r="T139" s="700"/>
      <c r="U139" s="700"/>
      <c r="V139" s="700"/>
      <c r="W139" s="700"/>
      <c r="X139" s="736"/>
      <c r="Y139" s="736"/>
      <c r="Z139" s="745"/>
      <c r="AA139" s="736"/>
      <c r="AB139" s="736"/>
      <c r="AD139" s="659">
        <f ca="1">1000*Z139/(P/1000)</f>
        <v>0</v>
      </c>
      <c r="AE139" s="201"/>
    </row>
    <row r="140" spans="1:39" ht="15.75" thickBot="1" x14ac:dyDescent="0.35">
      <c r="E140" s="145"/>
      <c r="G140" s="145"/>
      <c r="S140" s="820"/>
      <c r="AD140" s="658">
        <f ca="1">1000*Z140/(P/1000)</f>
        <v>0</v>
      </c>
    </row>
    <row r="141" spans="1:39" ht="27" customHeight="1" thickBot="1" x14ac:dyDescent="0.35">
      <c r="A141" s="1057" t="s">
        <v>961</v>
      </c>
      <c r="B141" s="689"/>
      <c r="C141" s="689"/>
      <c r="D141" s="689"/>
      <c r="E141" s="688" t="s">
        <v>548</v>
      </c>
      <c r="F141" s="689"/>
      <c r="G141" s="690"/>
      <c r="H141" s="688" t="s">
        <v>545</v>
      </c>
      <c r="I141" s="690"/>
      <c r="J141" s="688" t="s">
        <v>546</v>
      </c>
      <c r="K141" s="690"/>
      <c r="L141" s="688" t="s">
        <v>957</v>
      </c>
      <c r="M141" s="689"/>
      <c r="N141" s="689"/>
      <c r="O141" s="689"/>
      <c r="P141" s="689"/>
      <c r="Q141" s="689"/>
      <c r="R141" s="689"/>
      <c r="S141" s="690"/>
      <c r="T141" s="921" t="s">
        <v>958</v>
      </c>
      <c r="U141" s="898"/>
      <c r="V141" s="1990" t="s">
        <v>949</v>
      </c>
      <c r="W141" s="1991"/>
      <c r="X141" s="1991"/>
      <c r="Y141" s="1992"/>
      <c r="Z141" s="1066" t="s">
        <v>470</v>
      </c>
      <c r="AA141" s="1067"/>
      <c r="AB141" s="1067"/>
      <c r="AC141" s="1105"/>
    </row>
    <row r="142" spans="1:39" ht="30" x14ac:dyDescent="0.3">
      <c r="A142" s="751"/>
      <c r="B142" s="42"/>
      <c r="C142" s="42"/>
      <c r="D142" s="42"/>
      <c r="E142" s="751" t="s">
        <v>542</v>
      </c>
      <c r="F142" s="220" t="s">
        <v>543</v>
      </c>
      <c r="G142" s="734" t="s">
        <v>498</v>
      </c>
      <c r="H142" s="846" t="s">
        <v>536</v>
      </c>
      <c r="I142" s="733" t="s">
        <v>537</v>
      </c>
      <c r="J142" s="1023" t="s">
        <v>547</v>
      </c>
      <c r="K142" s="1027"/>
      <c r="L142" s="895" t="s">
        <v>524</v>
      </c>
      <c r="M142" s="768"/>
      <c r="N142" s="768" t="s">
        <v>920</v>
      </c>
      <c r="O142" s="768" t="s">
        <v>281</v>
      </c>
      <c r="P142" s="219" t="s">
        <v>541</v>
      </c>
      <c r="Q142" s="219"/>
      <c r="R142" s="219" t="s">
        <v>538</v>
      </c>
      <c r="S142" s="1027" t="s">
        <v>900</v>
      </c>
      <c r="T142" s="1023" t="s">
        <v>549</v>
      </c>
      <c r="U142" s="742" t="s">
        <v>550</v>
      </c>
      <c r="V142" s="793" t="s">
        <v>943</v>
      </c>
      <c r="W142" s="1006" t="s">
        <v>944</v>
      </c>
      <c r="X142" s="996" t="s">
        <v>512</v>
      </c>
      <c r="Y142" s="742" t="s">
        <v>550</v>
      </c>
      <c r="Z142" s="1059" t="s">
        <v>498</v>
      </c>
      <c r="AA142" s="179" t="s">
        <v>836</v>
      </c>
      <c r="AB142" s="42" t="s">
        <v>839</v>
      </c>
      <c r="AC142" s="1106" t="s">
        <v>964</v>
      </c>
    </row>
    <row r="143" spans="1:39" x14ac:dyDescent="0.3">
      <c r="A143" s="741"/>
      <c r="B143" s="227"/>
      <c r="C143" s="227"/>
      <c r="D143" s="227"/>
      <c r="E143" s="741"/>
      <c r="F143" s="226" t="s">
        <v>506</v>
      </c>
      <c r="G143" s="693" t="s">
        <v>305</v>
      </c>
      <c r="H143" s="1031" t="s">
        <v>531</v>
      </c>
      <c r="I143" s="1042" t="s">
        <v>294</v>
      </c>
      <c r="J143" s="1031" t="s">
        <v>532</v>
      </c>
      <c r="K143" s="1032" t="s">
        <v>305</v>
      </c>
      <c r="L143" s="741" t="s">
        <v>483</v>
      </c>
      <c r="M143" s="227"/>
      <c r="N143" s="227" t="s">
        <v>925</v>
      </c>
      <c r="O143" s="227" t="s">
        <v>392</v>
      </c>
      <c r="P143" s="223" t="s">
        <v>539</v>
      </c>
      <c r="Q143" s="227" t="s">
        <v>540</v>
      </c>
      <c r="R143" s="999" t="s">
        <v>508</v>
      </c>
      <c r="S143" s="1028" t="s">
        <v>901</v>
      </c>
      <c r="T143" s="1024" t="s">
        <v>305</v>
      </c>
      <c r="U143" s="693" t="s">
        <v>551</v>
      </c>
      <c r="V143" s="741" t="s">
        <v>666</v>
      </c>
      <c r="W143" s="225" t="s">
        <v>666</v>
      </c>
      <c r="X143" s="222" t="s">
        <v>395</v>
      </c>
      <c r="Y143" s="693" t="s">
        <v>551</v>
      </c>
      <c r="Z143" s="741" t="s">
        <v>832</v>
      </c>
      <c r="AA143" s="227" t="s">
        <v>415</v>
      </c>
      <c r="AB143" s="227" t="s">
        <v>415</v>
      </c>
      <c r="AC143" s="1107" t="s">
        <v>891</v>
      </c>
    </row>
    <row r="144" spans="1:39" x14ac:dyDescent="0.3">
      <c r="A144" s="694"/>
      <c r="D144" s="119"/>
      <c r="E144" s="694"/>
      <c r="G144" s="695"/>
      <c r="H144" s="1033"/>
      <c r="I144" s="1043"/>
      <c r="J144" s="1033"/>
      <c r="K144" s="1034"/>
      <c r="L144" s="752"/>
      <c r="Q144" s="820"/>
      <c r="R144" s="124"/>
      <c r="S144" s="764"/>
      <c r="T144" s="752"/>
      <c r="U144" s="764"/>
      <c r="V144" s="752"/>
      <c r="W144" s="214"/>
      <c r="X144" s="212"/>
      <c r="Y144" s="764"/>
      <c r="Z144" s="1060">
        <f t="shared" ref="Z144:Z163" ca="1" si="35">Y144/P</f>
        <v>0</v>
      </c>
      <c r="AC144" s="1100"/>
      <c r="AM144" s="102"/>
    </row>
    <row r="145" spans="1:40" outlineLevel="1" x14ac:dyDescent="0.3">
      <c r="A145" s="782" t="s">
        <v>516</v>
      </c>
      <c r="D145" s="119"/>
      <c r="E145" s="1048"/>
      <c r="F145" s="183"/>
      <c r="G145" s="1049"/>
      <c r="H145" s="1589">
        <f>Inputs!C303</f>
        <v>4</v>
      </c>
      <c r="I145" s="806">
        <f ca="1">ROUNDDOWN((horizon-1)/H145,0)</f>
        <v>6</v>
      </c>
      <c r="J145" s="1591">
        <f>Inputs!C304</f>
        <v>0.05</v>
      </c>
      <c r="K145" s="806">
        <f ca="1">U47*$J145</f>
        <v>1.9226081026839688</v>
      </c>
      <c r="L145" s="694" t="s">
        <v>287</v>
      </c>
      <c r="N145" s="450">
        <f ca="1">wing_area</f>
        <v>12</v>
      </c>
      <c r="O145" s="102" t="s">
        <v>51</v>
      </c>
      <c r="P145" s="1593">
        <f>Inputs!C305</f>
        <v>0.13333333333333333</v>
      </c>
      <c r="Q145" s="820" t="s">
        <v>533</v>
      </c>
      <c r="R145" s="119">
        <f ca="1">P145*N145</f>
        <v>1.6</v>
      </c>
      <c r="S145" s="764">
        <f ca="1">R145/H145</f>
        <v>0.4</v>
      </c>
      <c r="T145" s="1004">
        <f ca="1">(K145+R145*cph+$G145)</f>
        <v>2.0186081026839688</v>
      </c>
      <c r="U145" s="802">
        <f ca="1">T145*I145/horizon</f>
        <v>0.48446594464415255</v>
      </c>
      <c r="V145" s="843">
        <f>Qo</f>
        <v>35</v>
      </c>
      <c r="W145" s="844">
        <f ca="1">Q</f>
        <v>15000</v>
      </c>
      <c r="X145" s="1536">
        <f>Inputs!C307</f>
        <v>0.16173774834437082</v>
      </c>
      <c r="Y145" s="806">
        <f ca="1">$U145*X145^LOG(Q/Qo)</f>
        <v>4.0071580513509246E-3</v>
      </c>
      <c r="Z145" s="1060">
        <f t="shared" ca="1" si="35"/>
        <v>2.6714387009006163E-5</v>
      </c>
      <c r="AA145" s="369">
        <f ca="1">Y145/$Y$166</f>
        <v>5.7604402641928966E-4</v>
      </c>
      <c r="AB145" s="369">
        <f ca="1">Y145/$Y$196/1000*N</f>
        <v>4.910239923680902E-4</v>
      </c>
      <c r="AC145" s="1102">
        <f t="shared" ref="AC145:AC162" ca="1" si="36">1000000*T145/P</f>
        <v>13457.387351226458</v>
      </c>
      <c r="AN145" s="120"/>
    </row>
    <row r="146" spans="1:40" outlineLevel="1" x14ac:dyDescent="0.3">
      <c r="A146" s="782" t="s">
        <v>186</v>
      </c>
      <c r="D146" s="119"/>
      <c r="E146" s="694"/>
      <c r="G146" s="695"/>
      <c r="H146" s="1589">
        <f>Inputs!C310</f>
        <v>3</v>
      </c>
      <c r="I146" s="806">
        <f ca="1">ROUNDDOWN((horizon-1)/H146,0)</f>
        <v>8</v>
      </c>
      <c r="J146" s="1591">
        <f>Inputs!C311</f>
        <v>0.3</v>
      </c>
      <c r="K146" s="806">
        <f>U48*$J146</f>
        <v>30</v>
      </c>
      <c r="L146" s="694"/>
      <c r="O146" s="102"/>
      <c r="P146" s="748"/>
      <c r="Q146" s="820"/>
      <c r="R146" s="1532">
        <f>Inputs!C313</f>
        <v>30</v>
      </c>
      <c r="S146" s="764">
        <f>R146/H146</f>
        <v>10</v>
      </c>
      <c r="T146" s="1004">
        <f>(K146+R146*cph+$G146)</f>
        <v>31.8</v>
      </c>
      <c r="U146" s="802">
        <f ca="1">T146*I146/horizon</f>
        <v>10.176</v>
      </c>
      <c r="V146" s="843">
        <f>Qo</f>
        <v>35</v>
      </c>
      <c r="W146" s="844">
        <f ca="1">Q</f>
        <v>15000</v>
      </c>
      <c r="X146" s="1536">
        <f>Inputs!C314</f>
        <v>0.660377358490566</v>
      </c>
      <c r="Y146" s="806">
        <f ca="1">$U146*X146^LOG(Q/Qo)</f>
        <v>3.4140188821938025</v>
      </c>
      <c r="Z146" s="1060">
        <f t="shared" ca="1" si="35"/>
        <v>2.2760125881292018E-2</v>
      </c>
      <c r="AA146" s="369">
        <f ca="1">Y146/$Y$166</f>
        <v>0.49077804218563242</v>
      </c>
      <c r="AB146" s="369">
        <f ca="1">Y146/$Y$196/1000*N</f>
        <v>0.41834266581766005</v>
      </c>
      <c r="AC146" s="1102">
        <f t="shared" ca="1" si="36"/>
        <v>212000</v>
      </c>
      <c r="AN146" s="120"/>
    </row>
    <row r="147" spans="1:40" outlineLevel="1" x14ac:dyDescent="0.3">
      <c r="A147" s="782" t="s">
        <v>187</v>
      </c>
      <c r="D147" s="119"/>
      <c r="E147" s="694"/>
      <c r="G147" s="695"/>
      <c r="H147" s="1589">
        <f>Inputs!C317</f>
        <v>5</v>
      </c>
      <c r="I147" s="806">
        <f ca="1">ROUNDDOWN((horizon-1)/H147,0)</f>
        <v>4</v>
      </c>
      <c r="J147" s="1591">
        <f>Inputs!C318</f>
        <v>0.7</v>
      </c>
      <c r="K147" s="806">
        <f ca="1">U49*$J147</f>
        <v>12.962100769250712</v>
      </c>
      <c r="L147" s="694"/>
      <c r="O147" s="102"/>
      <c r="P147" s="748"/>
      <c r="Q147" s="820"/>
      <c r="S147" s="764">
        <f>R147/H147</f>
        <v>0</v>
      </c>
      <c r="T147" s="1004">
        <f ca="1">(K147+R147*cph+$G147)</f>
        <v>12.962100769250712</v>
      </c>
      <c r="U147" s="802">
        <f ca="1">T147*I147/horizon</f>
        <v>2.0739361230801139</v>
      </c>
      <c r="V147" s="843">
        <f>Qo</f>
        <v>35</v>
      </c>
      <c r="W147" s="844">
        <f ca="1">Q</f>
        <v>15000</v>
      </c>
      <c r="X147" s="1536">
        <f>Inputs!C321</f>
        <v>0.7</v>
      </c>
      <c r="Y147" s="806">
        <f ca="1">$U147*X147^LOG(Q/Qo)</f>
        <v>0.81112879925572301</v>
      </c>
      <c r="Z147" s="1060">
        <f t="shared" ca="1" si="35"/>
        <v>5.407525328371487E-3</v>
      </c>
      <c r="AA147" s="369">
        <f ca="1">Y147/$Y$166</f>
        <v>0.11660281263684841</v>
      </c>
      <c r="AB147" s="369">
        <f ca="1">Y147/$Y$196/1000*N</f>
        <v>9.9393060176652573E-2</v>
      </c>
      <c r="AC147" s="1102">
        <f t="shared" ca="1" si="36"/>
        <v>86414.005128338089</v>
      </c>
      <c r="AN147" s="120"/>
    </row>
    <row r="148" spans="1:40" outlineLevel="1" x14ac:dyDescent="0.3">
      <c r="A148" s="783" t="s">
        <v>190</v>
      </c>
      <c r="B148" s="178"/>
      <c r="C148" s="178"/>
      <c r="D148" s="178"/>
      <c r="E148" s="772"/>
      <c r="F148" s="176"/>
      <c r="G148" s="1050"/>
      <c r="H148" s="1590">
        <f>Inputs!C324</f>
        <v>4</v>
      </c>
      <c r="I148" s="849">
        <f ca="1">ROUNDDOWN((horizon-1)/H148,0)</f>
        <v>6</v>
      </c>
      <c r="J148" s="1592">
        <f>Inputs!C325</f>
        <v>0.05</v>
      </c>
      <c r="K148" s="849">
        <f ca="1">U50*$J148</f>
        <v>0.41758936641719036</v>
      </c>
      <c r="L148" s="772" t="s">
        <v>287</v>
      </c>
      <c r="M148" s="178"/>
      <c r="N148" s="706">
        <f ca="1">wing_area</f>
        <v>12</v>
      </c>
      <c r="O148" s="176" t="s">
        <v>51</v>
      </c>
      <c r="P148" s="1594">
        <f>Inputs!C326</f>
        <v>8.8888888888888892E-2</v>
      </c>
      <c r="Q148" s="822" t="s">
        <v>533</v>
      </c>
      <c r="R148" s="178">
        <f ca="1">P148*N148</f>
        <v>1.0666666666666667</v>
      </c>
      <c r="S148" s="784">
        <f ca="1">R148/H148</f>
        <v>0.26666666666666666</v>
      </c>
      <c r="T148" s="1005">
        <f ca="1">(K148+R148*cph+$G148)</f>
        <v>0.48158936641719036</v>
      </c>
      <c r="U148" s="803">
        <f ca="1">T148*I148/horizon</f>
        <v>0.11558144794012568</v>
      </c>
      <c r="V148" s="850">
        <f>Qo</f>
        <v>35</v>
      </c>
      <c r="W148" s="1009">
        <f ca="1">Q</f>
        <v>15000</v>
      </c>
      <c r="X148" s="1595">
        <f>Inputs!C328</f>
        <v>0.65661478599221812</v>
      </c>
      <c r="Y148" s="849">
        <f ca="1">$U148*X148^LOG(Q/Qo)</f>
        <v>3.819843252642758E-2</v>
      </c>
      <c r="Z148" s="1061">
        <f t="shared" ca="1" si="35"/>
        <v>2.5465621684285056E-4</v>
      </c>
      <c r="AA148" s="374">
        <f ca="1">Y148/$Y$166</f>
        <v>5.4911682028640591E-3</v>
      </c>
      <c r="AB148" s="374">
        <f ca="1">Y148/$Y$196/1000*N</f>
        <v>4.6807105187693567E-3</v>
      </c>
      <c r="AC148" s="1103">
        <f t="shared" ca="1" si="36"/>
        <v>3210.5957761146024</v>
      </c>
      <c r="AN148" s="120"/>
    </row>
    <row r="149" spans="1:40" x14ac:dyDescent="0.3">
      <c r="A149" s="1051" t="s">
        <v>185</v>
      </c>
      <c r="B149" s="213"/>
      <c r="C149" s="213"/>
      <c r="D149" s="213"/>
      <c r="E149" s="1051"/>
      <c r="F149" s="198"/>
      <c r="G149" s="1052"/>
      <c r="H149" s="1000"/>
      <c r="I149" s="808"/>
      <c r="J149" s="1000"/>
      <c r="K149" s="808"/>
      <c r="L149" s="1058"/>
      <c r="M149" s="665"/>
      <c r="N149" s="665"/>
      <c r="O149" s="204"/>
      <c r="P149" s="916"/>
      <c r="Q149" s="827"/>
      <c r="R149" s="665">
        <f ca="1">SUM(R145:R148)</f>
        <v>32.666666666666671</v>
      </c>
      <c r="S149" s="1029">
        <f ca="1">SUM(S145:S148)</f>
        <v>10.666666666666668</v>
      </c>
      <c r="T149" s="1000"/>
      <c r="U149" s="808">
        <f ca="1">SUM(U145:U148)</f>
        <v>12.849983515664395</v>
      </c>
      <c r="V149" s="1000">
        <f>Qo</f>
        <v>35</v>
      </c>
      <c r="W149" s="218">
        <f ca="1">Q</f>
        <v>15000</v>
      </c>
      <c r="X149" s="649">
        <f ca="1">IFERROR(10^(LOG(Y149/U149)/LOG(W149/V149)),)</f>
        <v>0.65782139968983233</v>
      </c>
      <c r="Y149" s="808">
        <f ca="1">SUM(Y145:Y148)</f>
        <v>4.2673532720273037</v>
      </c>
      <c r="Z149" s="1062">
        <f t="shared" ca="1" si="35"/>
        <v>2.8449021813515357E-2</v>
      </c>
      <c r="AA149" s="371">
        <f ca="1">Y149/$Y$166</f>
        <v>0.61344806705176413</v>
      </c>
      <c r="AB149" s="371">
        <f ca="1">Y149/$Y$196/1000*N</f>
        <v>0.52290746050545012</v>
      </c>
      <c r="AC149" s="1101">
        <f t="shared" ca="1" si="36"/>
        <v>0</v>
      </c>
      <c r="AN149" s="120"/>
    </row>
    <row r="150" spans="1:40" outlineLevel="1" x14ac:dyDescent="0.3">
      <c r="A150" s="694"/>
      <c r="D150" s="119"/>
      <c r="E150" s="694"/>
      <c r="G150" s="695"/>
      <c r="H150" s="752"/>
      <c r="I150" s="764"/>
      <c r="J150" s="752"/>
      <c r="K150" s="764"/>
      <c r="L150" s="694"/>
      <c r="O150" s="102"/>
      <c r="Q150" s="820"/>
      <c r="S150" s="764"/>
      <c r="T150" s="752"/>
      <c r="U150" s="764"/>
      <c r="V150" s="1001"/>
      <c r="W150" s="1022"/>
      <c r="X150" s="212"/>
      <c r="Y150" s="764"/>
      <c r="Z150" s="1060">
        <f t="shared" ca="1" si="35"/>
        <v>0</v>
      </c>
      <c r="AA150" s="369">
        <f t="shared" ref="AA150:AA166" ca="1" si="37">Y150/$Y$166</f>
        <v>0</v>
      </c>
      <c r="AB150" s="369"/>
      <c r="AC150" s="1102">
        <f t="shared" ca="1" si="36"/>
        <v>0</v>
      </c>
      <c r="AN150" s="120"/>
    </row>
    <row r="151" spans="1:40" outlineLevel="1" x14ac:dyDescent="0.3">
      <c r="A151" s="782" t="s">
        <v>192</v>
      </c>
      <c r="D151" s="119"/>
      <c r="E151" s="1048" t="s">
        <v>509</v>
      </c>
      <c r="F151" s="1597">
        <f>Inputs!C330</f>
        <v>0.1</v>
      </c>
      <c r="G151" s="1053">
        <f ca="1">R151*F151/2</f>
        <v>5.3333333333333337E-2</v>
      </c>
      <c r="H151" s="1589">
        <f>Inputs!C331</f>
        <v>6</v>
      </c>
      <c r="I151" s="806">
        <f ca="1">ROUNDDOWN((horizon-1)/H151,0)</f>
        <v>4</v>
      </c>
      <c r="J151" s="1591">
        <f>Inputs!C332</f>
        <v>1</v>
      </c>
      <c r="K151" s="806">
        <f ca="1">U54*$J151</f>
        <v>1.4111314932733403</v>
      </c>
      <c r="L151" s="694" t="s">
        <v>287</v>
      </c>
      <c r="N151" s="450">
        <f ca="1">wing_area</f>
        <v>12</v>
      </c>
      <c r="O151" s="102" t="s">
        <v>51</v>
      </c>
      <c r="P151" s="1593">
        <f>Inputs!C333</f>
        <v>8.8888888888888892E-2</v>
      </c>
      <c r="Q151" s="820" t="s">
        <v>533</v>
      </c>
      <c r="R151" s="119">
        <f ca="1">P151*N151</f>
        <v>1.0666666666666667</v>
      </c>
      <c r="S151" s="764">
        <f ca="1">R151/H151</f>
        <v>0.17777777777777778</v>
      </c>
      <c r="T151" s="1004">
        <f ca="1">(K151+R151*cph+$G151)</f>
        <v>1.5284648266066736</v>
      </c>
      <c r="U151" s="802">
        <f ca="1">T151*I151/horizon</f>
        <v>0.24455437225706778</v>
      </c>
      <c r="V151" s="843">
        <f>Qo</f>
        <v>35</v>
      </c>
      <c r="W151" s="844">
        <f ca="1">Q</f>
        <v>15000</v>
      </c>
      <c r="X151" s="1536">
        <f>Inputs!C335</f>
        <v>0.68414502350976691</v>
      </c>
      <c r="Y151" s="806">
        <f ca="1">$U151*X151^LOG(Q/Qo)</f>
        <v>9.0049559787947486E-2</v>
      </c>
      <c r="Z151" s="1060">
        <f t="shared" ca="1" si="35"/>
        <v>6.0033039858631656E-4</v>
      </c>
      <c r="AA151" s="369">
        <f t="shared" ca="1" si="37"/>
        <v>1.2944962572675705E-2</v>
      </c>
      <c r="AB151" s="369">
        <f ca="1">Y151/$Y$196/1000*N</f>
        <v>1.1034377429450379E-2</v>
      </c>
      <c r="AC151" s="1102">
        <f t="shared" ca="1" si="36"/>
        <v>10189.765510711157</v>
      </c>
      <c r="AN151" s="120"/>
    </row>
    <row r="152" spans="1:40" outlineLevel="1" x14ac:dyDescent="0.3">
      <c r="A152" s="783" t="s">
        <v>193</v>
      </c>
      <c r="B152" s="178"/>
      <c r="C152" s="178"/>
      <c r="D152" s="178"/>
      <c r="E152" s="1054" t="s">
        <v>509</v>
      </c>
      <c r="F152" s="1598">
        <f>Inputs!C337</f>
        <v>0.1</v>
      </c>
      <c r="G152" s="1055">
        <f ca="1">R152*F152/2</f>
        <v>5.3333333333333337E-2</v>
      </c>
      <c r="H152" s="1590">
        <f>Inputs!C338</f>
        <v>1</v>
      </c>
      <c r="I152" s="849">
        <f ca="1">ROUNDDOWN((horizon-1)/H152,0)</f>
        <v>24</v>
      </c>
      <c r="J152" s="1592">
        <f>Inputs!C339</f>
        <v>1</v>
      </c>
      <c r="K152" s="849">
        <f ca="1">U55*$J152</f>
        <v>2.6389104888289303</v>
      </c>
      <c r="L152" s="772" t="s">
        <v>287</v>
      </c>
      <c r="M152" s="178"/>
      <c r="N152" s="706">
        <f ca="1">wing_area</f>
        <v>12</v>
      </c>
      <c r="O152" s="176" t="s">
        <v>51</v>
      </c>
      <c r="P152" s="1594">
        <f>Inputs!C340</f>
        <v>8.8888888888888892E-2</v>
      </c>
      <c r="Q152" s="822" t="s">
        <v>533</v>
      </c>
      <c r="R152" s="178">
        <f ca="1">P152*N152</f>
        <v>1.0666666666666667</v>
      </c>
      <c r="S152" s="784">
        <f ca="1">R152/H152</f>
        <v>1.0666666666666667</v>
      </c>
      <c r="T152" s="1005">
        <f ca="1">(K152+R152*cph+$G152)</f>
        <v>2.7562438221622636</v>
      </c>
      <c r="U152" s="803">
        <f ca="1">T152*I152/horizon</f>
        <v>2.6459940692757731</v>
      </c>
      <c r="V152" s="850">
        <f>Qo</f>
        <v>35</v>
      </c>
      <c r="W152" s="1009">
        <f ca="1">Q</f>
        <v>15000</v>
      </c>
      <c r="X152" s="1595">
        <f>Inputs!C342</f>
        <v>0.68414502350976703</v>
      </c>
      <c r="Y152" s="849">
        <f ca="1">$U152*X152^LOG(Q/Qo)</f>
        <v>0.97430521867481001</v>
      </c>
      <c r="Z152" s="1061">
        <f t="shared" ca="1" si="35"/>
        <v>6.495368124498733E-3</v>
      </c>
      <c r="AA152" s="374">
        <f t="shared" ca="1" si="37"/>
        <v>0.14006003604912801</v>
      </c>
      <c r="AB152" s="374">
        <f ca="1">Y152/$Y$196/1000*N</f>
        <v>0.11938816291448401</v>
      </c>
      <c r="AC152" s="1103">
        <f t="shared" ca="1" si="36"/>
        <v>18374.958814415091</v>
      </c>
      <c r="AN152" s="120"/>
    </row>
    <row r="153" spans="1:40" x14ac:dyDescent="0.3">
      <c r="A153" s="1051" t="s">
        <v>191</v>
      </c>
      <c r="B153" s="213"/>
      <c r="C153" s="213"/>
      <c r="D153" s="213"/>
      <c r="E153" s="1051"/>
      <c r="F153" s="198"/>
      <c r="G153" s="1052"/>
      <c r="H153" s="1000"/>
      <c r="I153" s="808"/>
      <c r="J153" s="1000"/>
      <c r="K153" s="808"/>
      <c r="L153" s="1058"/>
      <c r="M153" s="665"/>
      <c r="N153" s="665"/>
      <c r="O153" s="204"/>
      <c r="P153" s="916"/>
      <c r="Q153" s="827"/>
      <c r="R153" s="665">
        <f ca="1">SUM(R151:R152)</f>
        <v>2.1333333333333333</v>
      </c>
      <c r="S153" s="1029">
        <f ca="1">SUM(S151:S152)</f>
        <v>1.2444444444444445</v>
      </c>
      <c r="T153" s="1000"/>
      <c r="U153" s="808">
        <f ca="1">SUM(U151:U152)</f>
        <v>2.8905484415328409</v>
      </c>
      <c r="V153" s="1000">
        <f>Qo</f>
        <v>35</v>
      </c>
      <c r="W153" s="218">
        <f ca="1">Q</f>
        <v>15000</v>
      </c>
      <c r="X153" s="649"/>
      <c r="Y153" s="808">
        <f ca="1">SUM(Y151:Y152)</f>
        <v>1.0643547784627576</v>
      </c>
      <c r="Z153" s="1062">
        <f t="shared" ca="1" si="35"/>
        <v>7.0956985230850511E-3</v>
      </c>
      <c r="AA153" s="371">
        <f t="shared" ca="1" si="37"/>
        <v>0.15300499862180375</v>
      </c>
      <c r="AB153" s="371">
        <f ca="1">Y153/$Y$196/1000*N</f>
        <v>0.13042254034393441</v>
      </c>
      <c r="AC153" s="1101">
        <f t="shared" ca="1" si="36"/>
        <v>0</v>
      </c>
      <c r="AN153" s="120"/>
    </row>
    <row r="154" spans="1:40" outlineLevel="1" x14ac:dyDescent="0.3">
      <c r="A154" s="694"/>
      <c r="D154" s="119"/>
      <c r="E154" s="694"/>
      <c r="G154" s="695"/>
      <c r="H154" s="752"/>
      <c r="I154" s="764"/>
      <c r="J154" s="752"/>
      <c r="K154" s="764"/>
      <c r="L154" s="694"/>
      <c r="O154" s="102"/>
      <c r="Q154" s="820"/>
      <c r="S154" s="764"/>
      <c r="T154" s="752"/>
      <c r="U154" s="764"/>
      <c r="V154" s="1001"/>
      <c r="W154" s="1022"/>
      <c r="X154" s="212"/>
      <c r="Y154" s="764"/>
      <c r="Z154" s="1060">
        <f t="shared" ca="1" si="35"/>
        <v>0</v>
      </c>
      <c r="AA154" s="369">
        <f t="shared" ca="1" si="37"/>
        <v>0</v>
      </c>
      <c r="AB154" s="369"/>
      <c r="AC154" s="1102">
        <f t="shared" ca="1" si="36"/>
        <v>0</v>
      </c>
      <c r="AN154" s="120"/>
    </row>
    <row r="155" spans="1:40" outlineLevel="1" x14ac:dyDescent="0.3">
      <c r="A155" s="782" t="s">
        <v>195</v>
      </c>
      <c r="D155" s="119"/>
      <c r="E155" s="1048" t="s">
        <v>510</v>
      </c>
      <c r="F155" s="1597">
        <f>Inputs!C344</f>
        <v>0.5</v>
      </c>
      <c r="G155" s="1053">
        <f ca="1">R155*F155/2</f>
        <v>2.88</v>
      </c>
      <c r="H155" s="1589">
        <f>Inputs!C345</f>
        <v>10</v>
      </c>
      <c r="I155" s="806">
        <f ca="1">ROUNDDOWN((horizon-1)/H155,0)</f>
        <v>2</v>
      </c>
      <c r="J155" s="1591">
        <f>Inputs!C346</f>
        <v>0.1</v>
      </c>
      <c r="K155" s="806">
        <f ca="1">U60*$J155</f>
        <v>9.9942223842108326</v>
      </c>
      <c r="L155" s="694" t="s">
        <v>412</v>
      </c>
      <c r="N155" s="450">
        <f ca="1">Tmax_t</f>
        <v>42.000000000000007</v>
      </c>
      <c r="O155" s="102" t="s">
        <v>535</v>
      </c>
      <c r="P155" s="1599">
        <f>Inputs!C347</f>
        <v>0.27428571428571424</v>
      </c>
      <c r="Q155" s="820" t="s">
        <v>534</v>
      </c>
      <c r="R155" s="119">
        <f ca="1">P155*N155</f>
        <v>11.52</v>
      </c>
      <c r="S155" s="764">
        <f ca="1">R155/H155</f>
        <v>1.1519999999999999</v>
      </c>
      <c r="T155" s="1004">
        <f ca="1">(K155+R155*cph+$G155)</f>
        <v>13.565422384210834</v>
      </c>
      <c r="U155" s="802">
        <f ca="1">T155*I155/horizon</f>
        <v>1.0852337907368668</v>
      </c>
      <c r="V155" s="843">
        <f>Qo</f>
        <v>35</v>
      </c>
      <c r="W155" s="844">
        <f ca="1">Q</f>
        <v>15000</v>
      </c>
      <c r="X155" s="1536">
        <f>Inputs!C349</f>
        <v>0.71402796571944072</v>
      </c>
      <c r="Y155" s="806">
        <f ca="1">$U155*X155^LOG(Q/Qo)</f>
        <v>0.44719647906071303</v>
      </c>
      <c r="Z155" s="1060">
        <f t="shared" ca="1" si="35"/>
        <v>2.9813098604047536E-3</v>
      </c>
      <c r="AA155" s="369">
        <f t="shared" ca="1" si="37"/>
        <v>6.4286174165707519E-2</v>
      </c>
      <c r="AB155" s="369">
        <f ca="1">Y155/$Y$196/1000*N</f>
        <v>5.4797988426564914E-2</v>
      </c>
      <c r="AC155" s="1102">
        <f t="shared" ca="1" si="36"/>
        <v>90436.14922807223</v>
      </c>
      <c r="AN155" s="120"/>
    </row>
    <row r="156" spans="1:40" outlineLevel="1" x14ac:dyDescent="0.3">
      <c r="A156" s="782" t="s">
        <v>234</v>
      </c>
      <c r="D156" s="119"/>
      <c r="E156" s="1048"/>
      <c r="F156" s="183"/>
      <c r="G156" s="1053"/>
      <c r="H156" s="1589">
        <f>Inputs!C352</f>
        <v>4</v>
      </c>
      <c r="I156" s="806">
        <f ca="1">ROUNDDOWN((horizon-1)/H156,0)</f>
        <v>6</v>
      </c>
      <c r="J156" s="1591">
        <f>Inputs!C353</f>
        <v>0.1</v>
      </c>
      <c r="K156" s="806">
        <f ca="1">U61*$J156</f>
        <v>1.1463211740598662</v>
      </c>
      <c r="L156" s="694" t="s">
        <v>412</v>
      </c>
      <c r="N156" s="450">
        <f ca="1">Tmax_t</f>
        <v>42.000000000000007</v>
      </c>
      <c r="O156" s="102" t="s">
        <v>535</v>
      </c>
      <c r="P156" s="1599">
        <f>Inputs!C354</f>
        <v>0.13714285714285712</v>
      </c>
      <c r="Q156" s="820" t="s">
        <v>534</v>
      </c>
      <c r="R156" s="119">
        <f ca="1">P156*N156</f>
        <v>5.76</v>
      </c>
      <c r="S156" s="764">
        <f ca="1">R156/H156</f>
        <v>1.44</v>
      </c>
      <c r="T156" s="1004">
        <f ca="1">(K156+R156*cph+$G156)</f>
        <v>1.4919211740598661</v>
      </c>
      <c r="U156" s="802">
        <f ca="1">T156*I156/horizon</f>
        <v>0.35806108177436785</v>
      </c>
      <c r="V156" s="843">
        <f>Qo</f>
        <v>35</v>
      </c>
      <c r="W156" s="844">
        <f ca="1">Q</f>
        <v>15000</v>
      </c>
      <c r="X156" s="1536">
        <f>Inputs!C356</f>
        <v>0.71729269327415734</v>
      </c>
      <c r="Y156" s="806">
        <f ca="1">$U156*X156^LOG(Q/Qo)</f>
        <v>0.14932987873563031</v>
      </c>
      <c r="Z156" s="1060">
        <f t="shared" ca="1" si="35"/>
        <v>9.9553252490420206E-4</v>
      </c>
      <c r="AA156" s="369">
        <f t="shared" ca="1" si="37"/>
        <v>2.146673116189585E-2</v>
      </c>
      <c r="AB156" s="369">
        <f ca="1">Y156/$Y$196/1000*N</f>
        <v>1.8298393099791071E-2</v>
      </c>
      <c r="AC156" s="1102">
        <f t="shared" ca="1" si="36"/>
        <v>9946.1411603991073</v>
      </c>
      <c r="AN156" s="120"/>
    </row>
    <row r="157" spans="1:40" outlineLevel="1" x14ac:dyDescent="0.3">
      <c r="A157" s="782" t="s">
        <v>196</v>
      </c>
      <c r="D157" s="119"/>
      <c r="E157" s="1048"/>
      <c r="F157" s="183"/>
      <c r="G157" s="1053"/>
      <c r="H157" s="1589">
        <f>Inputs!C359</f>
        <v>4</v>
      </c>
      <c r="I157" s="806">
        <f ca="1">ROUNDDOWN((horizon-1)/H157,0)</f>
        <v>6</v>
      </c>
      <c r="J157" s="1591">
        <f>Inputs!C360</f>
        <v>0.1</v>
      </c>
      <c r="K157" s="806">
        <f ca="1">U62*$J157</f>
        <v>4.1607212984395145</v>
      </c>
      <c r="L157" s="694" t="s">
        <v>412</v>
      </c>
      <c r="N157" s="450">
        <f ca="1">Tmax_t</f>
        <v>42.000000000000007</v>
      </c>
      <c r="O157" s="102" t="s">
        <v>535</v>
      </c>
      <c r="P157" s="1599">
        <f>Inputs!C361</f>
        <v>0.13714285714285712</v>
      </c>
      <c r="Q157" s="820" t="s">
        <v>534</v>
      </c>
      <c r="R157" s="119">
        <f ca="1">P157*N157</f>
        <v>5.76</v>
      </c>
      <c r="S157" s="764">
        <f ca="1">R157/H157</f>
        <v>1.44</v>
      </c>
      <c r="T157" s="1004">
        <f ca="1">(K157+R157*cph+$G157)</f>
        <v>4.5063212984395147</v>
      </c>
      <c r="U157" s="802">
        <f ca="1">T157*I157/horizon</f>
        <v>1.0815171116254836</v>
      </c>
      <c r="V157" s="843">
        <f>Qo</f>
        <v>35</v>
      </c>
      <c r="W157" s="844">
        <f ca="1">Q</f>
        <v>15000</v>
      </c>
      <c r="X157" s="1536">
        <f>Inputs!C363</f>
        <v>0.64771976206212811</v>
      </c>
      <c r="Y157" s="806">
        <f ca="1">$U157*X157^LOG(Q/Qo)</f>
        <v>0.34482598802123587</v>
      </c>
      <c r="Z157" s="1060">
        <f t="shared" ca="1" si="35"/>
        <v>2.2988399201415723E-3</v>
      </c>
      <c r="AA157" s="369">
        <f t="shared" ca="1" si="37"/>
        <v>4.9570031430828415E-2</v>
      </c>
      <c r="AB157" s="369">
        <f ca="1">Y157/$Y$196/1000*N</f>
        <v>4.2253844530384013E-2</v>
      </c>
      <c r="AC157" s="1102">
        <f t="shared" ca="1" si="36"/>
        <v>30042.141989596767</v>
      </c>
      <c r="AN157" s="120"/>
    </row>
    <row r="158" spans="1:40" outlineLevel="1" x14ac:dyDescent="0.3">
      <c r="A158" s="783" t="s">
        <v>197</v>
      </c>
      <c r="B158" s="178"/>
      <c r="C158" s="178"/>
      <c r="D158" s="178"/>
      <c r="E158" s="1054"/>
      <c r="F158" s="216"/>
      <c r="G158" s="1055"/>
      <c r="H158" s="1590">
        <f>Inputs!C366</f>
        <v>4</v>
      </c>
      <c r="I158" s="849">
        <f ca="1">ROUNDDOWN((horizon-1)/H158,0)</f>
        <v>6</v>
      </c>
      <c r="J158" s="1592">
        <f>Inputs!C367</f>
        <v>0.1</v>
      </c>
      <c r="K158" s="849">
        <f ca="1">U63*$J158</f>
        <v>0.2037904309439762</v>
      </c>
      <c r="L158" s="772" t="s">
        <v>412</v>
      </c>
      <c r="M158" s="178"/>
      <c r="N158" s="706">
        <f ca="1">Tmax_t</f>
        <v>42.000000000000007</v>
      </c>
      <c r="O158" s="176" t="s">
        <v>535</v>
      </c>
      <c r="P158" s="1600">
        <f>Inputs!C368</f>
        <v>2.2857142857142857E-2</v>
      </c>
      <c r="Q158" s="822" t="s">
        <v>534</v>
      </c>
      <c r="R158" s="178">
        <f ca="1">P158*N158</f>
        <v>0.96000000000000019</v>
      </c>
      <c r="S158" s="784">
        <f ca="1">R158/H158</f>
        <v>0.24000000000000005</v>
      </c>
      <c r="T158" s="1005">
        <f ca="1">(K158+R158*cph+$G158)</f>
        <v>0.26139043094397618</v>
      </c>
      <c r="U158" s="803">
        <f ca="1">T158*I158/horizon</f>
        <v>6.273370342655428E-2</v>
      </c>
      <c r="V158" s="850">
        <f>Qo</f>
        <v>35</v>
      </c>
      <c r="W158" s="1009">
        <f ca="1">Q</f>
        <v>15000</v>
      </c>
      <c r="X158" s="1595">
        <f>Inputs!C370</f>
        <v>0.17378351539225423</v>
      </c>
      <c r="Y158" s="849">
        <f ca="1">$U158*X158^LOG(Q/Qo)</f>
        <v>6.2688208841298466E-4</v>
      </c>
      <c r="Z158" s="1061">
        <f t="shared" ca="1" si="35"/>
        <v>4.1792139227532309E-6</v>
      </c>
      <c r="AA158" s="374">
        <f t="shared" ca="1" si="37"/>
        <v>9.0116655662685429E-5</v>
      </c>
      <c r="AB158" s="374">
        <f ca="1">Y158/$Y$196/1000*N</f>
        <v>7.6816073100190578E-5</v>
      </c>
      <c r="AC158" s="1103">
        <f t="shared" ca="1" si="36"/>
        <v>1742.6028729598413</v>
      </c>
      <c r="AN158" s="120"/>
    </row>
    <row r="159" spans="1:40" x14ac:dyDescent="0.3">
      <c r="A159" s="1051" t="s">
        <v>194</v>
      </c>
      <c r="B159" s="213"/>
      <c r="C159" s="213"/>
      <c r="D159" s="213"/>
      <c r="E159" s="1051"/>
      <c r="F159" s="198"/>
      <c r="G159" s="1052"/>
      <c r="H159" s="1000"/>
      <c r="I159" s="808"/>
      <c r="J159" s="1000"/>
      <c r="K159" s="808"/>
      <c r="L159" s="1058"/>
      <c r="M159" s="665"/>
      <c r="N159" s="665"/>
      <c r="O159" s="204"/>
      <c r="P159" s="916"/>
      <c r="Q159" s="827"/>
      <c r="R159" s="665">
        <f ca="1">SUM(R155:R158)</f>
        <v>24</v>
      </c>
      <c r="S159" s="1029">
        <f ca="1">SUM(S155:S158)</f>
        <v>4.2720000000000002</v>
      </c>
      <c r="T159" s="1000"/>
      <c r="U159" s="808">
        <f ca="1">SUM(U155:U158)</f>
        <v>2.587545687563273</v>
      </c>
      <c r="V159" s="1000">
        <f>Qo</f>
        <v>35</v>
      </c>
      <c r="W159" s="218">
        <f ca="1">Q</f>
        <v>15000</v>
      </c>
      <c r="X159" s="649">
        <f ca="1">IFERROR(10^(LOG(Y159/U159)/LOG(W159/V159)),)</f>
        <v>0.68118707969724324</v>
      </c>
      <c r="Y159" s="808">
        <f ca="1">SUM(Y155:Y158)</f>
        <v>0.9419792279059922</v>
      </c>
      <c r="Z159" s="1062">
        <f t="shared" ca="1" si="35"/>
        <v>6.2798615193732817E-3</v>
      </c>
      <c r="AA159" s="371">
        <f t="shared" ca="1" si="37"/>
        <v>0.13541305341409449</v>
      </c>
      <c r="AB159" s="371">
        <f ca="1">Y159/$Y$196/1000*N</f>
        <v>0.11542704212984019</v>
      </c>
      <c r="AC159" s="1101">
        <f t="shared" ca="1" si="36"/>
        <v>0</v>
      </c>
      <c r="AN159" s="120"/>
    </row>
    <row r="160" spans="1:40" outlineLevel="1" x14ac:dyDescent="0.3">
      <c r="A160" s="694"/>
      <c r="D160" s="119"/>
      <c r="E160" s="694"/>
      <c r="G160" s="695"/>
      <c r="H160" s="752"/>
      <c r="I160" s="764"/>
      <c r="J160" s="752"/>
      <c r="K160" s="764"/>
      <c r="L160" s="694"/>
      <c r="O160" s="102"/>
      <c r="Q160" s="820"/>
      <c r="S160" s="764"/>
      <c r="T160" s="752"/>
      <c r="U160" s="764"/>
      <c r="V160" s="1001"/>
      <c r="W160" s="1022"/>
      <c r="X160" s="212"/>
      <c r="Y160" s="764"/>
      <c r="Z160" s="1060">
        <f t="shared" ca="1" si="35"/>
        <v>0</v>
      </c>
      <c r="AA160" s="369">
        <f t="shared" ca="1" si="37"/>
        <v>0</v>
      </c>
      <c r="AB160" s="369"/>
      <c r="AC160" s="1102">
        <f t="shared" ca="1" si="36"/>
        <v>0</v>
      </c>
      <c r="AN160" s="120"/>
    </row>
    <row r="161" spans="1:40" outlineLevel="1" x14ac:dyDescent="0.3">
      <c r="A161" s="782" t="s">
        <v>200</v>
      </c>
      <c r="D161" s="119"/>
      <c r="E161" s="1048" t="s">
        <v>509</v>
      </c>
      <c r="F161" s="1597">
        <f>Inputs!C372</f>
        <v>0.1</v>
      </c>
      <c r="G161" s="1053">
        <f ca="1">R161*F161/2</f>
        <v>8.0000000000000016E-2</v>
      </c>
      <c r="H161" s="1589">
        <f>Inputs!C373</f>
        <v>1</v>
      </c>
      <c r="I161" s="806">
        <f ca="1">ROUNDDOWN((horizon-1)/H161,0)</f>
        <v>24</v>
      </c>
      <c r="J161" s="1591">
        <f>Inputs!C374</f>
        <v>0.1</v>
      </c>
      <c r="K161" s="806">
        <f ca="1">U68*$J161</f>
        <v>1.6337574676073641</v>
      </c>
      <c r="L161" s="694" t="s">
        <v>287</v>
      </c>
      <c r="N161" s="450">
        <f ca="1">wing_area</f>
        <v>12</v>
      </c>
      <c r="O161" s="102" t="s">
        <v>51</v>
      </c>
      <c r="P161" s="1593">
        <f>Inputs!C375</f>
        <v>0.13333333333333333</v>
      </c>
      <c r="Q161" s="820" t="s">
        <v>533</v>
      </c>
      <c r="R161" s="119">
        <f ca="1">P161*N161</f>
        <v>1.6</v>
      </c>
      <c r="S161" s="764">
        <f ca="1">R161/H161</f>
        <v>1.6</v>
      </c>
      <c r="T161" s="1004">
        <f ca="1">(K161+R161*cph+$G161)</f>
        <v>1.8097574676073642</v>
      </c>
      <c r="U161" s="802">
        <f ca="1">T161*I161/horizon</f>
        <v>1.7373671689030699</v>
      </c>
      <c r="V161" s="843">
        <f>Qo</f>
        <v>35</v>
      </c>
      <c r="W161" s="844">
        <f ca="1">Q</f>
        <v>15000</v>
      </c>
      <c r="X161" s="1536">
        <f>Inputs!C377</f>
        <v>0.69358758707916757</v>
      </c>
      <c r="Y161" s="806">
        <f ca="1">$U161*X161^LOG(Q/Qo)</f>
        <v>0.66323368430817975</v>
      </c>
      <c r="Z161" s="1060">
        <f t="shared" ca="1" si="35"/>
        <v>4.421557895387865E-3</v>
      </c>
      <c r="AA161" s="369">
        <f t="shared" ca="1" si="37"/>
        <v>9.5342334160486542E-2</v>
      </c>
      <c r="AB161" s="369">
        <f ca="1">Y161/$Y$196/1000*N</f>
        <v>8.1270478321215631E-2</v>
      </c>
      <c r="AC161" s="1102">
        <f t="shared" ca="1" si="36"/>
        <v>12065.049784049095</v>
      </c>
      <c r="AN161" s="120"/>
    </row>
    <row r="162" spans="1:40" outlineLevel="1" x14ac:dyDescent="0.3">
      <c r="A162" s="783" t="s">
        <v>201</v>
      </c>
      <c r="B162" s="178"/>
      <c r="C162" s="178"/>
      <c r="D162" s="178"/>
      <c r="E162" s="1054"/>
      <c r="F162" s="216"/>
      <c r="G162" s="1055"/>
      <c r="H162" s="1590">
        <f>Inputs!C380</f>
        <v>5</v>
      </c>
      <c r="I162" s="849">
        <f ca="1">ROUNDDOWN((horizon-1)/H162,0)</f>
        <v>4</v>
      </c>
      <c r="J162" s="1592">
        <f>Inputs!C381</f>
        <v>0.1</v>
      </c>
      <c r="K162" s="849">
        <f>U67*$J162</f>
        <v>2</v>
      </c>
      <c r="L162" s="772" t="s">
        <v>287</v>
      </c>
      <c r="M162" s="178"/>
      <c r="N162" s="706">
        <f ca="1">wing_area</f>
        <v>12</v>
      </c>
      <c r="O162" s="176" t="s">
        <v>51</v>
      </c>
      <c r="P162" s="1594">
        <f>Inputs!C382</f>
        <v>0.13333333333333333</v>
      </c>
      <c r="Q162" s="822" t="s">
        <v>533</v>
      </c>
      <c r="R162" s="178">
        <f ca="1">P162*N162</f>
        <v>1.6</v>
      </c>
      <c r="S162" s="784">
        <f ca="1">R162/H162</f>
        <v>0.32</v>
      </c>
      <c r="T162" s="1005">
        <f ca="1">(K162+R162*cph+$G162)</f>
        <v>2.0960000000000001</v>
      </c>
      <c r="U162" s="803">
        <f ca="1">T162*I162/horizon</f>
        <v>0.33535999999999999</v>
      </c>
      <c r="V162" s="850">
        <f>Qo</f>
        <v>35</v>
      </c>
      <c r="W162" s="1009">
        <f ca="1">Q</f>
        <v>15000</v>
      </c>
      <c r="X162" s="1595">
        <f>Inputs!C384</f>
        <v>0.33877460553908656</v>
      </c>
      <c r="Y162" s="849">
        <f ca="1">$U162*X162^LOG(Q/Qo)</f>
        <v>1.9418948082729592E-2</v>
      </c>
      <c r="Z162" s="1061">
        <f t="shared" ca="1" si="35"/>
        <v>1.2945965388486396E-4</v>
      </c>
      <c r="AA162" s="374">
        <f t="shared" ca="1" si="37"/>
        <v>2.7915467518511107E-3</v>
      </c>
      <c r="AB162" s="374">
        <f ca="1">Y162/$Y$196/1000*N</f>
        <v>2.3795341468889619E-3</v>
      </c>
      <c r="AC162" s="1103">
        <f t="shared" ca="1" si="36"/>
        <v>13973.333333333334</v>
      </c>
      <c r="AN162" s="120"/>
    </row>
    <row r="163" spans="1:40" x14ac:dyDescent="0.3">
      <c r="A163" s="773" t="s">
        <v>199</v>
      </c>
      <c r="B163" s="709"/>
      <c r="C163" s="709"/>
      <c r="D163" s="709"/>
      <c r="E163" s="1051"/>
      <c r="F163" s="198"/>
      <c r="G163" s="1052"/>
      <c r="H163" s="1000"/>
      <c r="I163" s="808"/>
      <c r="J163" s="1000"/>
      <c r="K163" s="1037"/>
      <c r="L163" s="1058"/>
      <c r="M163" s="665"/>
      <c r="N163" s="665"/>
      <c r="O163" s="665"/>
      <c r="P163" s="916"/>
      <c r="Q163" s="827"/>
      <c r="R163" s="665">
        <f ca="1">SUM(R161:R162)</f>
        <v>3.2</v>
      </c>
      <c r="S163" s="1029">
        <f ca="1">SUM(S161:S162)</f>
        <v>1.9200000000000002</v>
      </c>
      <c r="T163" s="1000"/>
      <c r="U163" s="808">
        <f ca="1">SUM(U161:U162)</f>
        <v>2.0727271689030697</v>
      </c>
      <c r="V163" s="1000">
        <f>Qo</f>
        <v>35</v>
      </c>
      <c r="W163" s="218">
        <f ca="1">Q</f>
        <v>15000</v>
      </c>
      <c r="X163" s="649">
        <f ca="1">IFERROR(10^(LOG(Y163/U163)/LOG(W163/V163)),)</f>
        <v>0.65575383207497684</v>
      </c>
      <c r="Y163" s="808">
        <f ca="1">SUM(Y161:Y162)</f>
        <v>0.68265263239090934</v>
      </c>
      <c r="Z163" s="1062">
        <f t="shared" ca="1" si="35"/>
        <v>4.5510175492727289E-3</v>
      </c>
      <c r="AA163" s="371">
        <f t="shared" ca="1" si="37"/>
        <v>9.8133880912337657E-2</v>
      </c>
      <c r="AB163" s="371">
        <f ca="1">Y163/$Y$196/1000*N</f>
        <v>8.3650012468104606E-2</v>
      </c>
      <c r="AC163" s="1101">
        <f ca="1">1000*T163/(P/1000)</f>
        <v>0</v>
      </c>
      <c r="AN163" s="120"/>
    </row>
    <row r="164" spans="1:40" outlineLevel="1" x14ac:dyDescent="0.3">
      <c r="A164" s="694"/>
      <c r="D164" s="119"/>
      <c r="E164" s="694"/>
      <c r="G164" s="695"/>
      <c r="H164" s="752"/>
      <c r="I164" s="764"/>
      <c r="J164" s="752"/>
      <c r="K164" s="1038"/>
      <c r="L164" s="694"/>
      <c r="Q164" s="820"/>
      <c r="S164" s="764"/>
      <c r="T164" s="752"/>
      <c r="U164" s="764"/>
      <c r="V164" s="1001"/>
      <c r="W164" s="907"/>
      <c r="X164" s="119"/>
      <c r="Y164" s="764"/>
      <c r="Z164" s="1063"/>
      <c r="AA164" s="196"/>
      <c r="AB164" s="196"/>
      <c r="AC164" s="1102"/>
      <c r="AN164" s="120"/>
    </row>
    <row r="165" spans="1:40" x14ac:dyDescent="0.3">
      <c r="A165" s="772"/>
      <c r="B165" s="178"/>
      <c r="C165" s="178"/>
      <c r="D165" s="178"/>
      <c r="E165" s="772"/>
      <c r="F165" s="176"/>
      <c r="G165" s="781"/>
      <c r="H165" s="772"/>
      <c r="I165" s="781"/>
      <c r="J165" s="772"/>
      <c r="K165" s="1039"/>
      <c r="L165" s="772"/>
      <c r="M165" s="178"/>
      <c r="N165" s="178"/>
      <c r="O165" s="178"/>
      <c r="P165" s="178"/>
      <c r="Q165" s="178"/>
      <c r="R165" s="822"/>
      <c r="S165" s="784"/>
      <c r="T165" s="754"/>
      <c r="U165" s="784"/>
      <c r="V165" s="1001"/>
      <c r="W165" s="907"/>
      <c r="X165" s="178"/>
      <c r="Y165" s="784" t="s">
        <v>551</v>
      </c>
      <c r="Z165" s="753" t="s">
        <v>832</v>
      </c>
      <c r="AA165" s="374" t="s">
        <v>415</v>
      </c>
      <c r="AB165" s="374" t="s">
        <v>415</v>
      </c>
      <c r="AC165" s="1103"/>
      <c r="AG165" s="120"/>
      <c r="AH165" s="120"/>
      <c r="AI165" s="120"/>
      <c r="AK165" s="102"/>
      <c r="AL165" s="102"/>
      <c r="AM165" s="102"/>
    </row>
    <row r="166" spans="1:40" ht="15.75" collapsed="1" thickBot="1" x14ac:dyDescent="0.35">
      <c r="A166" s="1046" t="s">
        <v>645</v>
      </c>
      <c r="B166" s="1003"/>
      <c r="C166" s="1003"/>
      <c r="D166" s="1003"/>
      <c r="E166" s="1046"/>
      <c r="F166" s="1056"/>
      <c r="G166" s="1047"/>
      <c r="H166" s="1046"/>
      <c r="I166" s="1047"/>
      <c r="J166" s="1040"/>
      <c r="K166" s="1041"/>
      <c r="L166" s="1046"/>
      <c r="M166" s="1003"/>
      <c r="N166" s="1003"/>
      <c r="O166" s="1003"/>
      <c r="P166" s="1003"/>
      <c r="Q166" s="1003"/>
      <c r="R166" s="1030"/>
      <c r="S166" s="1026"/>
      <c r="T166" s="1002"/>
      <c r="U166" s="1026">
        <f ca="1">U163+U159+U153+U149</f>
        <v>20.400804813663576</v>
      </c>
      <c r="V166" s="1002">
        <f>Qo</f>
        <v>35</v>
      </c>
      <c r="W166" s="1003">
        <f ca="1">Q</f>
        <v>15000</v>
      </c>
      <c r="X166" s="1065">
        <f ca="1">IFERROR(10^(LOG(Y166/U166)/LOG(W166/V166)),)</f>
        <v>0.66445978132631633</v>
      </c>
      <c r="Y166" s="1026">
        <f ca="1">Y163+Y159+Y153+Y149</f>
        <v>6.956339910786963</v>
      </c>
      <c r="Z166" s="1064">
        <f ca="1">Y166/P</f>
        <v>4.6375599405246423E-2</v>
      </c>
      <c r="AA166" s="1065">
        <f t="shared" ca="1" si="37"/>
        <v>1</v>
      </c>
      <c r="AB166" s="1065">
        <f ca="1">Y166/$Y$196/1000*N</f>
        <v>0.85240705544732931</v>
      </c>
      <c r="AC166" s="1104">
        <f ca="1">1000000*T166/P</f>
        <v>0</v>
      </c>
      <c r="AM166" s="102"/>
    </row>
    <row r="167" spans="1:40" ht="15.75" thickBot="1" x14ac:dyDescent="0.35">
      <c r="D167" s="145"/>
      <c r="E167" s="145"/>
      <c r="F167" s="145"/>
      <c r="G167" s="145"/>
      <c r="P167" s="83"/>
      <c r="Q167" s="119"/>
      <c r="W167" s="83"/>
      <c r="Y167" s="119"/>
      <c r="Z167" s="83"/>
      <c r="AB167" s="658"/>
      <c r="AM167" s="102"/>
    </row>
    <row r="168" spans="1:40" ht="26.1" customHeight="1" outlineLevel="1" thickBot="1" x14ac:dyDescent="0.35">
      <c r="A168" s="1057" t="s">
        <v>651</v>
      </c>
      <c r="B168" s="1087"/>
      <c r="C168" s="1087"/>
      <c r="D168" s="1087"/>
      <c r="E168" s="1087"/>
      <c r="F168" s="1087"/>
      <c r="G168" s="1087"/>
      <c r="H168" s="1087"/>
      <c r="I168" s="1087"/>
      <c r="J168" s="1087"/>
      <c r="K168" s="1088"/>
      <c r="L168" s="688" t="s">
        <v>652</v>
      </c>
      <c r="M168" s="689"/>
      <c r="N168" s="689"/>
      <c r="O168" s="690"/>
      <c r="P168" s="688" t="s">
        <v>959</v>
      </c>
      <c r="Q168" s="689"/>
      <c r="R168" s="689"/>
      <c r="S168" s="689"/>
      <c r="T168" s="689"/>
      <c r="U168" s="690"/>
      <c r="V168" s="1993" t="s">
        <v>949</v>
      </c>
      <c r="W168" s="1991"/>
      <c r="X168" s="1991"/>
      <c r="Y168" s="1991"/>
      <c r="Z168" s="1066" t="s">
        <v>470</v>
      </c>
      <c r="AA168" s="1067"/>
      <c r="AB168" s="755"/>
      <c r="AM168" s="102"/>
    </row>
    <row r="169" spans="1:40" ht="30" outlineLevel="1" x14ac:dyDescent="0.3">
      <c r="A169" s="751"/>
      <c r="B169" s="42"/>
      <c r="C169" s="42"/>
      <c r="D169" s="42"/>
      <c r="E169" s="42"/>
      <c r="F169" s="42"/>
      <c r="G169" s="42"/>
      <c r="H169" s="42"/>
      <c r="I169" s="42"/>
      <c r="J169" s="42"/>
      <c r="K169" s="734"/>
      <c r="L169" s="893" t="s">
        <v>524</v>
      </c>
      <c r="M169" s="31"/>
      <c r="N169" s="768" t="s">
        <v>920</v>
      </c>
      <c r="O169" s="789" t="s">
        <v>281</v>
      </c>
      <c r="P169" s="793" t="s">
        <v>307</v>
      </c>
      <c r="Q169" s="460" t="s">
        <v>922</v>
      </c>
      <c r="R169" s="559" t="s">
        <v>923</v>
      </c>
      <c r="S169" s="461"/>
      <c r="T169" s="42"/>
      <c r="U169" s="742" t="s">
        <v>498</v>
      </c>
      <c r="V169" s="768" t="s">
        <v>943</v>
      </c>
      <c r="W169" s="1006" t="s">
        <v>944</v>
      </c>
      <c r="X169" s="996" t="s">
        <v>512</v>
      </c>
      <c r="Y169" s="365" t="s">
        <v>498</v>
      </c>
      <c r="Z169" s="1059" t="s">
        <v>498</v>
      </c>
      <c r="AA169" s="31" t="s">
        <v>962</v>
      </c>
      <c r="AB169" s="1089" t="s">
        <v>963</v>
      </c>
      <c r="AM169" s="102"/>
    </row>
    <row r="170" spans="1:40" outlineLevel="1" x14ac:dyDescent="0.3">
      <c r="A170" s="741"/>
      <c r="B170" s="227"/>
      <c r="C170" s="227"/>
      <c r="D170" s="227"/>
      <c r="E170" s="227"/>
      <c r="F170" s="227"/>
      <c r="G170" s="227"/>
      <c r="H170" s="227"/>
      <c r="I170" s="227"/>
      <c r="J170" s="227"/>
      <c r="K170" s="693"/>
      <c r="L170" s="741" t="s">
        <v>483</v>
      </c>
      <c r="M170" s="227"/>
      <c r="N170" s="227" t="s">
        <v>925</v>
      </c>
      <c r="O170" s="693" t="s">
        <v>392</v>
      </c>
      <c r="P170" s="741" t="s">
        <v>404</v>
      </c>
      <c r="Q170" s="367" t="s">
        <v>462</v>
      </c>
      <c r="R170" s="227" t="s">
        <v>926</v>
      </c>
      <c r="S170" s="225" t="s">
        <v>500</v>
      </c>
      <c r="T170" s="227"/>
      <c r="U170" s="693" t="s">
        <v>960</v>
      </c>
      <c r="V170" s="227" t="s">
        <v>666</v>
      </c>
      <c r="W170" s="225" t="s">
        <v>666</v>
      </c>
      <c r="X170" s="222" t="s">
        <v>395</v>
      </c>
      <c r="Y170" s="227" t="s">
        <v>551</v>
      </c>
      <c r="Z170" s="741" t="s">
        <v>832</v>
      </c>
      <c r="AA170" s="227" t="s">
        <v>415</v>
      </c>
      <c r="AB170" s="693" t="s">
        <v>415</v>
      </c>
      <c r="AM170" s="102"/>
    </row>
    <row r="171" spans="1:40" outlineLevel="1" x14ac:dyDescent="0.3">
      <c r="A171" s="782" t="s">
        <v>607</v>
      </c>
      <c r="K171" s="695"/>
      <c r="L171" s="1075" t="s">
        <v>624</v>
      </c>
      <c r="M171" s="1532">
        <f>Inputs!C388</f>
        <v>13.5</v>
      </c>
      <c r="N171" s="450">
        <f ca="1">Pp</f>
        <v>4.5</v>
      </c>
      <c r="O171" s="695" t="s">
        <v>503</v>
      </c>
      <c r="P171" s="1607">
        <f>Inputs!C389</f>
        <v>0.6</v>
      </c>
      <c r="Q171" s="1608">
        <f>Inputs!C390</f>
        <v>5</v>
      </c>
      <c r="R171" s="1099">
        <f t="shared" ref="R171:R178" ca="1" si="38">Q171*P171^LOG(N/No)</f>
        <v>5</v>
      </c>
      <c r="S171" s="1069" t="s">
        <v>615</v>
      </c>
      <c r="T171" s="764">
        <f>Q171*M171</f>
        <v>67.5</v>
      </c>
      <c r="U171" s="764">
        <f ca="1">R171*N171</f>
        <v>22.5</v>
      </c>
      <c r="V171" s="450">
        <f t="shared" ref="V171:V179" si="39">Qo</f>
        <v>35</v>
      </c>
      <c r="W171" s="844">
        <f t="shared" ref="W171:W179" ca="1" si="40">Q</f>
        <v>15000</v>
      </c>
      <c r="X171" s="1018">
        <f>experience_factor_selected</f>
        <v>0.79999999999999982</v>
      </c>
      <c r="Y171" s="122">
        <f ca="1">$U171*X171^LOG(W171/V171)</f>
        <v>12.505847087502373</v>
      </c>
      <c r="Z171" s="1060">
        <f t="shared" ref="Z171:Z179" ca="1" si="41">Y171/P</f>
        <v>8.3372313916682483E-2</v>
      </c>
      <c r="AA171" s="369" t="e">
        <f ca="1">Y171/$Y$183</f>
        <v>#DIV/0!</v>
      </c>
      <c r="AB171" s="743">
        <f t="shared" ref="AB171:AB179" ca="1" si="42">Y171/$Y$196/1000*N</f>
        <v>1.5324254462037197</v>
      </c>
      <c r="AM171" s="102"/>
    </row>
    <row r="172" spans="1:40" outlineLevel="1" x14ac:dyDescent="0.3">
      <c r="A172" s="782" t="s">
        <v>608</v>
      </c>
      <c r="K172" s="695"/>
      <c r="L172" s="1075" t="s">
        <v>624</v>
      </c>
      <c r="M172" s="1532">
        <f>Inputs!C396</f>
        <v>13.5</v>
      </c>
      <c r="N172" s="450">
        <f ca="1">Pp</f>
        <v>4.5</v>
      </c>
      <c r="O172" s="695" t="s">
        <v>503</v>
      </c>
      <c r="P172" s="1607">
        <f>Inputs!C397</f>
        <v>0.5</v>
      </c>
      <c r="Q172" s="1608">
        <f>Inputs!C398</f>
        <v>5</v>
      </c>
      <c r="R172" s="1099">
        <f t="shared" ca="1" si="38"/>
        <v>5</v>
      </c>
      <c r="S172" s="1069" t="s">
        <v>615</v>
      </c>
      <c r="T172" s="764">
        <f t="shared" ref="T172:U178" si="43">Q172*M172</f>
        <v>67.5</v>
      </c>
      <c r="U172" s="764">
        <f t="shared" ca="1" si="43"/>
        <v>22.5</v>
      </c>
      <c r="V172" s="450">
        <f t="shared" si="39"/>
        <v>35</v>
      </c>
      <c r="W172" s="844">
        <f t="shared" ca="1" si="40"/>
        <v>15000</v>
      </c>
      <c r="X172" s="1018">
        <f>experience_factor_selected</f>
        <v>0.79999999999999982</v>
      </c>
      <c r="Y172" s="122">
        <f t="shared" ref="Y172:Y178" ca="1" si="44">$U172*X172^LOG(W172/V172)</f>
        <v>12.505847087502373</v>
      </c>
      <c r="Z172" s="1060">
        <f t="shared" ca="1" si="41"/>
        <v>8.3372313916682483E-2</v>
      </c>
      <c r="AA172" s="369" t="e">
        <f t="shared" ref="AA172:AA183" ca="1" si="45">Y172/$Y$183</f>
        <v>#DIV/0!</v>
      </c>
      <c r="AB172" s="743">
        <f t="shared" ca="1" si="42"/>
        <v>1.5324254462037197</v>
      </c>
      <c r="AM172" s="102"/>
    </row>
    <row r="173" spans="1:40" outlineLevel="1" x14ac:dyDescent="0.3">
      <c r="A173" s="782" t="s">
        <v>609</v>
      </c>
      <c r="K173" s="695"/>
      <c r="L173" s="1075" t="s">
        <v>623</v>
      </c>
      <c r="M173" s="1532">
        <f>Inputs!C404</f>
        <v>10143.916477661758</v>
      </c>
      <c r="N173" s="450">
        <f t="shared" ref="N173:N178" ca="1" si="46">Revenues</f>
        <v>396.64749130227966</v>
      </c>
      <c r="O173" s="1076" t="s">
        <v>551</v>
      </c>
      <c r="P173" s="648">
        <f>scaling_factor_selected</f>
        <v>0.79999999999999982</v>
      </c>
      <c r="Q173" s="1609">
        <f>Inputs!C406</f>
        <v>0.01</v>
      </c>
      <c r="R173" s="1068">
        <f t="shared" ca="1" si="38"/>
        <v>0.01</v>
      </c>
      <c r="S173" s="1069" t="s">
        <v>616</v>
      </c>
      <c r="T173" s="764">
        <f t="shared" si="43"/>
        <v>101.43916477661759</v>
      </c>
      <c r="U173" s="764">
        <f t="shared" ca="1" si="43"/>
        <v>3.9664749130227968</v>
      </c>
      <c r="V173" s="450">
        <f t="shared" si="39"/>
        <v>35</v>
      </c>
      <c r="W173" s="844">
        <f t="shared" ca="1" si="40"/>
        <v>15000</v>
      </c>
      <c r="X173" s="1536">
        <f>Inputs!C409</f>
        <v>0.9</v>
      </c>
      <c r="Y173" s="122">
        <f t="shared" ca="1" si="44"/>
        <v>3.0058682035286619</v>
      </c>
      <c r="Z173" s="1060">
        <f t="shared" ca="1" si="41"/>
        <v>2.0039121356857745E-2</v>
      </c>
      <c r="AA173" s="369" t="e">
        <f t="shared" ca="1" si="45"/>
        <v>#DIV/0!</v>
      </c>
      <c r="AB173" s="743">
        <f t="shared" ca="1" si="42"/>
        <v>0.36832922158669479</v>
      </c>
      <c r="AM173" s="102"/>
    </row>
    <row r="174" spans="1:40" outlineLevel="1" x14ac:dyDescent="0.3">
      <c r="A174" s="782" t="s">
        <v>610</v>
      </c>
      <c r="K174" s="695"/>
      <c r="L174" s="1075" t="s">
        <v>623</v>
      </c>
      <c r="M174" s="1532">
        <f>Inputs!C412</f>
        <v>10143.916477661758</v>
      </c>
      <c r="N174" s="450">
        <f t="shared" ca="1" si="46"/>
        <v>396.64749130227966</v>
      </c>
      <c r="O174" s="1076" t="s">
        <v>551</v>
      </c>
      <c r="P174" s="648">
        <f>scaling_factor_selected</f>
        <v>0.79999999999999982</v>
      </c>
      <c r="Q174" s="1609">
        <f>Inputs!C414</f>
        <v>0.01</v>
      </c>
      <c r="R174" s="1068">
        <f t="shared" ca="1" si="38"/>
        <v>0.01</v>
      </c>
      <c r="S174" s="1069" t="s">
        <v>616</v>
      </c>
      <c r="T174" s="764">
        <f t="shared" si="43"/>
        <v>101.43916477661759</v>
      </c>
      <c r="U174" s="764">
        <f t="shared" ca="1" si="43"/>
        <v>3.9664749130227968</v>
      </c>
      <c r="V174" s="450">
        <f t="shared" si="39"/>
        <v>35</v>
      </c>
      <c r="W174" s="844">
        <f t="shared" ca="1" si="40"/>
        <v>15000</v>
      </c>
      <c r="X174" s="1018">
        <f>experience_factor_selected</f>
        <v>0.79999999999999982</v>
      </c>
      <c r="Y174" s="122">
        <f t="shared" ca="1" si="44"/>
        <v>2.2046279439412166</v>
      </c>
      <c r="Z174" s="1060">
        <f t="shared" ca="1" si="41"/>
        <v>1.4697519626274778E-2</v>
      </c>
      <c r="AA174" s="369" t="e">
        <f t="shared" ca="1" si="45"/>
        <v>#DIV/0!</v>
      </c>
      <c r="AB174" s="743">
        <f t="shared" ca="1" si="42"/>
        <v>0.27014787059754758</v>
      </c>
      <c r="AM174" s="102"/>
    </row>
    <row r="175" spans="1:40" outlineLevel="1" x14ac:dyDescent="0.3">
      <c r="A175" s="782" t="s">
        <v>611</v>
      </c>
      <c r="K175" s="695"/>
      <c r="L175" s="1075" t="s">
        <v>623</v>
      </c>
      <c r="M175" s="1532">
        <f>Inputs!C420</f>
        <v>10143.916477661758</v>
      </c>
      <c r="N175" s="450">
        <f t="shared" ca="1" si="46"/>
        <v>396.64749130227966</v>
      </c>
      <c r="O175" s="1076" t="s">
        <v>551</v>
      </c>
      <c r="P175" s="648">
        <f>scaling_factor_selected</f>
        <v>0.79999999999999982</v>
      </c>
      <c r="Q175" s="1609">
        <f>Inputs!C422</f>
        <v>5.0000000000000001E-3</v>
      </c>
      <c r="R175" s="1068">
        <f t="shared" ca="1" si="38"/>
        <v>5.0000000000000001E-3</v>
      </c>
      <c r="S175" s="1069" t="s">
        <v>616</v>
      </c>
      <c r="T175" s="764">
        <f t="shared" si="43"/>
        <v>50.719582388308794</v>
      </c>
      <c r="U175" s="764">
        <f t="shared" ca="1" si="43"/>
        <v>1.9832374565113984</v>
      </c>
      <c r="V175" s="450">
        <f t="shared" si="39"/>
        <v>35</v>
      </c>
      <c r="W175" s="844">
        <f t="shared" ca="1" si="40"/>
        <v>15000</v>
      </c>
      <c r="X175" s="1536">
        <f>Inputs!C425</f>
        <v>0.9</v>
      </c>
      <c r="Y175" s="122">
        <f t="shared" ca="1" si="44"/>
        <v>1.502934101764331</v>
      </c>
      <c r="Z175" s="1060">
        <f t="shared" ca="1" si="41"/>
        <v>1.0019560678428872E-2</v>
      </c>
      <c r="AA175" s="369" t="e">
        <f t="shared" ca="1" si="45"/>
        <v>#DIV/0!</v>
      </c>
      <c r="AB175" s="743">
        <f t="shared" ca="1" si="42"/>
        <v>0.18416461079334739</v>
      </c>
      <c r="AM175" s="102"/>
    </row>
    <row r="176" spans="1:40" outlineLevel="1" x14ac:dyDescent="0.3">
      <c r="A176" s="782" t="s">
        <v>612</v>
      </c>
      <c r="K176" s="695"/>
      <c r="L176" s="1075" t="s">
        <v>623</v>
      </c>
      <c r="M176" s="1532">
        <f>Inputs!C428</f>
        <v>10143.916477661758</v>
      </c>
      <c r="N176" s="450">
        <f t="shared" ca="1" si="46"/>
        <v>396.64749130227966</v>
      </c>
      <c r="O176" s="1076" t="s">
        <v>551</v>
      </c>
      <c r="P176" s="1607">
        <f>Inputs!C429</f>
        <v>0.5</v>
      </c>
      <c r="Q176" s="1609">
        <f>Inputs!C430</f>
        <v>0.01</v>
      </c>
      <c r="R176" s="1068">
        <f t="shared" ca="1" si="38"/>
        <v>0.01</v>
      </c>
      <c r="S176" s="1069" t="s">
        <v>616</v>
      </c>
      <c r="T176" s="764">
        <f t="shared" si="43"/>
        <v>101.43916477661759</v>
      </c>
      <c r="U176" s="764">
        <f t="shared" ca="1" si="43"/>
        <v>3.9664749130227968</v>
      </c>
      <c r="V176" s="450">
        <f t="shared" si="39"/>
        <v>35</v>
      </c>
      <c r="W176" s="844">
        <f t="shared" ca="1" si="40"/>
        <v>15000</v>
      </c>
      <c r="X176" s="1018">
        <f>experience_factor_selected</f>
        <v>0.79999999999999982</v>
      </c>
      <c r="Y176" s="122">
        <f t="shared" ca="1" si="44"/>
        <v>2.2046279439412166</v>
      </c>
      <c r="Z176" s="1060">
        <f t="shared" ca="1" si="41"/>
        <v>1.4697519626274778E-2</v>
      </c>
      <c r="AA176" s="369" t="e">
        <f t="shared" ca="1" si="45"/>
        <v>#DIV/0!</v>
      </c>
      <c r="AB176" s="743">
        <f t="shared" ca="1" si="42"/>
        <v>0.27014787059754758</v>
      </c>
      <c r="AM176" s="102"/>
    </row>
    <row r="177" spans="1:39" outlineLevel="1" x14ac:dyDescent="0.3">
      <c r="A177" s="782" t="s">
        <v>613</v>
      </c>
      <c r="K177" s="695"/>
      <c r="L177" s="1075" t="s">
        <v>623</v>
      </c>
      <c r="M177" s="1532">
        <f>Inputs!C436</f>
        <v>10143.916477661758</v>
      </c>
      <c r="N177" s="450">
        <f t="shared" ca="1" si="46"/>
        <v>396.64749130227966</v>
      </c>
      <c r="O177" s="1076" t="s">
        <v>551</v>
      </c>
      <c r="P177" s="1607">
        <f>Inputs!C437</f>
        <v>1</v>
      </c>
      <c r="Q177" s="1609">
        <f>Inputs!C438</f>
        <v>0</v>
      </c>
      <c r="R177" s="1068">
        <f t="shared" ca="1" si="38"/>
        <v>0</v>
      </c>
      <c r="S177" s="1069" t="s">
        <v>616</v>
      </c>
      <c r="T177" s="764">
        <f t="shared" si="43"/>
        <v>0</v>
      </c>
      <c r="U177" s="764">
        <f t="shared" ca="1" si="43"/>
        <v>0</v>
      </c>
      <c r="V177" s="450">
        <f t="shared" si="39"/>
        <v>35</v>
      </c>
      <c r="W177" s="844">
        <f t="shared" ca="1" si="40"/>
        <v>15000</v>
      </c>
      <c r="X177" s="1536">
        <f>Inputs!C441</f>
        <v>0.9</v>
      </c>
      <c r="Y177" s="122">
        <f t="shared" ca="1" si="44"/>
        <v>0</v>
      </c>
      <c r="Z177" s="1060">
        <f t="shared" ca="1" si="41"/>
        <v>0</v>
      </c>
      <c r="AA177" s="369" t="e">
        <f t="shared" ca="1" si="45"/>
        <v>#DIV/0!</v>
      </c>
      <c r="AB177" s="743">
        <f t="shared" ca="1" si="42"/>
        <v>0</v>
      </c>
      <c r="AM177" s="102"/>
    </row>
    <row r="178" spans="1:39" outlineLevel="1" x14ac:dyDescent="0.3">
      <c r="A178" s="782" t="s">
        <v>614</v>
      </c>
      <c r="K178" s="695"/>
      <c r="L178" s="1075" t="s">
        <v>623</v>
      </c>
      <c r="M178" s="1532">
        <f>Inputs!C444</f>
        <v>10143.916477661758</v>
      </c>
      <c r="N178" s="450">
        <f t="shared" ca="1" si="46"/>
        <v>396.64749130227966</v>
      </c>
      <c r="O178" s="1076" t="s">
        <v>551</v>
      </c>
      <c r="P178" s="648">
        <f>scaling_factor_selected</f>
        <v>0.79999999999999982</v>
      </c>
      <c r="Q178" s="1609">
        <f>Inputs!C446</f>
        <v>0.01</v>
      </c>
      <c r="R178" s="1068">
        <f t="shared" ca="1" si="38"/>
        <v>0.01</v>
      </c>
      <c r="S178" s="1069" t="s">
        <v>616</v>
      </c>
      <c r="T178" s="764">
        <f t="shared" si="43"/>
        <v>101.43916477661759</v>
      </c>
      <c r="U178" s="764">
        <f t="shared" ca="1" si="43"/>
        <v>3.9664749130227968</v>
      </c>
      <c r="V178" s="450">
        <f t="shared" si="39"/>
        <v>35</v>
      </c>
      <c r="W178" s="844">
        <f t="shared" ca="1" si="40"/>
        <v>15000</v>
      </c>
      <c r="X178" s="1018">
        <f>experience_factor_selected</f>
        <v>0.79999999999999982</v>
      </c>
      <c r="Y178" s="122">
        <f t="shared" ca="1" si="44"/>
        <v>2.2046279439412166</v>
      </c>
      <c r="Z178" s="1061">
        <f t="shared" ca="1" si="41"/>
        <v>1.4697519626274778E-2</v>
      </c>
      <c r="AA178" s="374" t="e">
        <f t="shared" ca="1" si="45"/>
        <v>#DIV/0!</v>
      </c>
      <c r="AB178" s="759">
        <f t="shared" ca="1" si="42"/>
        <v>0.27014787059754758</v>
      </c>
      <c r="AM178" s="102"/>
    </row>
    <row r="179" spans="1:39" x14ac:dyDescent="0.3">
      <c r="A179" s="1082" t="s">
        <v>651</v>
      </c>
      <c r="B179" s="1071"/>
      <c r="C179" s="1071"/>
      <c r="D179" s="1070"/>
      <c r="E179" s="1070"/>
      <c r="F179" s="1070"/>
      <c r="G179" s="1070"/>
      <c r="H179" s="1070"/>
      <c r="I179" s="1070"/>
      <c r="J179" s="1070"/>
      <c r="K179" s="1083"/>
      <c r="L179" s="1074"/>
      <c r="M179" s="1071"/>
      <c r="N179" s="1071"/>
      <c r="O179" s="1077"/>
      <c r="P179" s="1080"/>
      <c r="Q179" s="1071"/>
      <c r="R179" s="1071"/>
      <c r="S179" s="1071"/>
      <c r="T179" s="1077">
        <f>SUM(T171:T178)</f>
        <v>591.47624149477917</v>
      </c>
      <c r="U179" s="1077">
        <f ca="1">SUM(U171:U178)</f>
        <v>62.849137108602577</v>
      </c>
      <c r="V179" s="1071">
        <f t="shared" si="39"/>
        <v>35</v>
      </c>
      <c r="W179" s="1094">
        <f t="shared" ca="1" si="40"/>
        <v>15000</v>
      </c>
      <c r="X179" s="1095">
        <f ca="1">IFERROR(10^(LOG(Y179/U179)/LOG(W179/V179)),)</f>
        <v>0.81034789646410998</v>
      </c>
      <c r="Y179" s="1071">
        <f ca="1">SUM(Y171:Y178)</f>
        <v>36.134380312121387</v>
      </c>
      <c r="Z179" s="1090">
        <f t="shared" ca="1" si="41"/>
        <v>0.2408958687474759</v>
      </c>
      <c r="AA179" s="379" t="e">
        <f t="shared" ca="1" si="45"/>
        <v>#DIV/0!</v>
      </c>
      <c r="AB179" s="762">
        <f t="shared" ca="1" si="42"/>
        <v>4.4277883365801243</v>
      </c>
      <c r="AM179" s="102"/>
    </row>
    <row r="180" spans="1:39" x14ac:dyDescent="0.3">
      <c r="A180" s="694"/>
      <c r="K180" s="1038"/>
      <c r="L180" s="752"/>
      <c r="O180" s="764"/>
      <c r="P180" s="752"/>
      <c r="Q180" s="119"/>
      <c r="S180" s="119"/>
      <c r="U180" s="1025"/>
      <c r="W180" s="214"/>
      <c r="X180" s="1096"/>
      <c r="Y180" s="119"/>
      <c r="Z180" s="1060"/>
      <c r="AA180" s="369"/>
      <c r="AB180" s="763"/>
    </row>
    <row r="181" spans="1:39" outlineLevel="1" x14ac:dyDescent="0.3">
      <c r="A181" s="782" t="s">
        <v>802</v>
      </c>
      <c r="K181" s="1038"/>
      <c r="L181" s="1078"/>
      <c r="M181" s="83"/>
      <c r="N181" s="83"/>
      <c r="O181" s="1025"/>
      <c r="P181" s="1078"/>
      <c r="R181" s="83"/>
      <c r="S181" s="83"/>
      <c r="T181" s="83"/>
      <c r="U181" s="1611">
        <f>Inputs!C455</f>
        <v>0</v>
      </c>
      <c r="V181" s="1532">
        <f>Inputs!C456</f>
        <v>100</v>
      </c>
      <c r="W181" s="1019">
        <f ca="1">Qoffshore</f>
        <v>5000</v>
      </c>
      <c r="X181" s="1578">
        <f>Inputs!C457</f>
        <v>0.7</v>
      </c>
      <c r="Y181" s="122">
        <f ca="1">$U181*X181^LOG(W181/V181)</f>
        <v>0</v>
      </c>
      <c r="Z181" s="1060">
        <f ca="1">Y181/P</f>
        <v>0</v>
      </c>
      <c r="AA181" s="369" t="e">
        <f t="shared" ca="1" si="45"/>
        <v>#DIV/0!</v>
      </c>
      <c r="AB181" s="743">
        <f ca="1">Y181/$Y$196/1000*N</f>
        <v>0</v>
      </c>
      <c r="AM181" s="102"/>
    </row>
    <row r="182" spans="1:39" outlineLevel="1" x14ac:dyDescent="0.3">
      <c r="A182" s="782" t="s">
        <v>803</v>
      </c>
      <c r="K182" s="1038"/>
      <c r="L182" s="1078"/>
      <c r="M182" s="83"/>
      <c r="N182" s="83"/>
      <c r="O182" s="1025"/>
      <c r="P182" s="1078"/>
      <c r="R182" s="83"/>
      <c r="S182" s="83"/>
      <c r="T182" s="83"/>
      <c r="U182" s="1611">
        <f ca="1">Inputs!C463</f>
        <v>0</v>
      </c>
      <c r="V182" s="1532">
        <f>Inputs!C464</f>
        <v>100</v>
      </c>
      <c r="W182" s="1019">
        <f ca="1">Qoffshore</f>
        <v>5000</v>
      </c>
      <c r="X182" s="1578">
        <f>Inputs!C465</f>
        <v>0.7</v>
      </c>
      <c r="Y182" s="122">
        <f ca="1">$U182*X182^LOG(W182/V182)</f>
        <v>0</v>
      </c>
      <c r="Z182" s="1061">
        <f ca="1">Y182/P</f>
        <v>0</v>
      </c>
      <c r="AA182" s="374" t="e">
        <f t="shared" ca="1" si="45"/>
        <v>#DIV/0!</v>
      </c>
      <c r="AB182" s="759">
        <f ca="1">Y182/$Y$196/1000*N</f>
        <v>0</v>
      </c>
      <c r="AM182" s="102"/>
    </row>
    <row r="183" spans="1:39" ht="15.75" thickBot="1" x14ac:dyDescent="0.35">
      <c r="A183" s="1084" t="s">
        <v>808</v>
      </c>
      <c r="B183" s="1073"/>
      <c r="C183" s="1073"/>
      <c r="D183" s="1085"/>
      <c r="E183" s="1085"/>
      <c r="F183" s="1085"/>
      <c r="G183" s="1085"/>
      <c r="H183" s="1085"/>
      <c r="I183" s="1085"/>
      <c r="J183" s="1085"/>
      <c r="K183" s="1086"/>
      <c r="L183" s="1072"/>
      <c r="M183" s="1073"/>
      <c r="N183" s="1073"/>
      <c r="O183" s="1079"/>
      <c r="P183" s="1081"/>
      <c r="Q183" s="1073"/>
      <c r="R183" s="1073"/>
      <c r="S183" s="1073"/>
      <c r="T183" s="1073"/>
      <c r="U183" s="1079">
        <f ca="1">SUM(U181:U182)</f>
        <v>0</v>
      </c>
      <c r="V183" s="1073">
        <f>Qo</f>
        <v>35</v>
      </c>
      <c r="W183" s="1097">
        <f ca="1">Q</f>
        <v>15000</v>
      </c>
      <c r="X183" s="1098">
        <f ca="1">IFERROR(10^(LOG(Y183/U183)/LOG(W183/V183)),)</f>
        <v>0</v>
      </c>
      <c r="Y183" s="1073">
        <f ca="1">SUM(Y181:Y182)</f>
        <v>0</v>
      </c>
      <c r="Z183" s="1091">
        <f ca="1">Y183/P</f>
        <v>0</v>
      </c>
      <c r="AA183" s="1092" t="e">
        <f t="shared" ca="1" si="45"/>
        <v>#DIV/0!</v>
      </c>
      <c r="AB183" s="1093">
        <f ca="1">Y183/$Y$196/1000*N</f>
        <v>0</v>
      </c>
      <c r="AM183" s="102"/>
    </row>
    <row r="184" spans="1:39" x14ac:dyDescent="0.3">
      <c r="S184" s="119"/>
      <c r="Y184" s="366"/>
      <c r="Z184" s="748"/>
      <c r="AB184" s="658">
        <f ca="1">1000*Y184/(P/1000)</f>
        <v>0</v>
      </c>
    </row>
    <row r="185" spans="1:39" x14ac:dyDescent="0.3">
      <c r="S185" s="119"/>
      <c r="X185" s="119"/>
      <c r="Y185" s="366"/>
      <c r="Z185" s="119"/>
      <c r="AA185" s="119"/>
      <c r="AB185" s="658">
        <f ca="1">1000*Y185/(P/1000)</f>
        <v>0</v>
      </c>
    </row>
    <row r="186" spans="1:39" x14ac:dyDescent="0.3">
      <c r="P186" s="83"/>
      <c r="Q186" s="119"/>
      <c r="S186" s="119"/>
      <c r="X186" s="178" t="s">
        <v>832</v>
      </c>
      <c r="Y186" s="737" t="s">
        <v>745</v>
      </c>
      <c r="Z186" s="750" t="s">
        <v>832</v>
      </c>
      <c r="AA186" s="750" t="s">
        <v>415</v>
      </c>
      <c r="AB186" s="658"/>
      <c r="AM186" s="102"/>
    </row>
    <row r="187" spans="1:39" x14ac:dyDescent="0.3">
      <c r="A187" s="604" t="str">
        <f>A149</f>
        <v>RPA</v>
      </c>
      <c r="P187" s="83"/>
      <c r="Q187" s="119"/>
      <c r="S187" s="119"/>
      <c r="X187" s="366">
        <f t="shared" ref="X187:X196" ca="1" si="47">Y187/Pp</f>
        <v>2.8449021813515361E-2</v>
      </c>
      <c r="Y187" s="366">
        <f ca="1">Y149/1000*N</f>
        <v>0.12802059816081912</v>
      </c>
      <c r="Z187" s="748">
        <f t="shared" ref="Z187:Z196" ca="1" si="48">Y187/P*1000</f>
        <v>0.85347065440546077</v>
      </c>
      <c r="AA187" s="748">
        <f t="shared" ref="AA187:AA196" ca="1" si="49">Y187/$Y$196</f>
        <v>0.52290746050545012</v>
      </c>
      <c r="AB187" s="658">
        <f t="shared" ref="AB187:AB196" ca="1" si="50">1000*Y187/(P/1000)</f>
        <v>853.47065440546089</v>
      </c>
      <c r="AC187" s="658"/>
      <c r="AM187" s="102"/>
    </row>
    <row r="188" spans="1:39" x14ac:dyDescent="0.3">
      <c r="A188" s="604" t="str">
        <f>A153</f>
        <v>Tether</v>
      </c>
      <c r="P188" s="83"/>
      <c r="Q188" s="119"/>
      <c r="S188" s="119"/>
      <c r="X188" s="366">
        <f t="shared" ca="1" si="47"/>
        <v>7.0956985230850511E-3</v>
      </c>
      <c r="Y188" s="366">
        <f ca="1">Y153/1000*N</f>
        <v>3.193064335388273E-2</v>
      </c>
      <c r="Z188" s="748">
        <f t="shared" ca="1" si="48"/>
        <v>0.21287095569255154</v>
      </c>
      <c r="AA188" s="748">
        <f t="shared" ca="1" si="49"/>
        <v>0.13042254034393441</v>
      </c>
      <c r="AB188" s="658">
        <f t="shared" ca="1" si="50"/>
        <v>212.87095569255155</v>
      </c>
      <c r="AC188" s="658"/>
      <c r="AM188" s="102"/>
    </row>
    <row r="189" spans="1:39" x14ac:dyDescent="0.3">
      <c r="A189" s="604" t="str">
        <f>A159</f>
        <v>PGA</v>
      </c>
      <c r="P189" s="83"/>
      <c r="Q189" s="119"/>
      <c r="S189" s="119"/>
      <c r="X189" s="366">
        <f t="shared" ca="1" si="47"/>
        <v>6.2798615193732817E-3</v>
      </c>
      <c r="Y189" s="366">
        <f ca="1">Y159/1000*N</f>
        <v>2.8259376837179766E-2</v>
      </c>
      <c r="Z189" s="748">
        <f t="shared" ca="1" si="48"/>
        <v>0.18839584558119843</v>
      </c>
      <c r="AA189" s="748">
        <f t="shared" ca="1" si="49"/>
        <v>0.11542704212984019</v>
      </c>
      <c r="AB189" s="658">
        <f t="shared" ca="1" si="50"/>
        <v>188.39584558119844</v>
      </c>
      <c r="AC189" s="658"/>
      <c r="AM189" s="102"/>
    </row>
    <row r="190" spans="1:39" x14ac:dyDescent="0.3">
      <c r="A190" s="605" t="str">
        <f>A163</f>
        <v>LLA</v>
      </c>
      <c r="B190" s="178"/>
      <c r="C190" s="178"/>
      <c r="D190" s="176"/>
      <c r="E190" s="176"/>
      <c r="F190" s="176"/>
      <c r="G190" s="176"/>
      <c r="H190" s="176"/>
      <c r="I190" s="176"/>
      <c r="J190" s="176"/>
      <c r="K190" s="176"/>
      <c r="L190" s="822"/>
      <c r="M190" s="178"/>
      <c r="N190" s="178"/>
      <c r="O190" s="178"/>
      <c r="P190" s="919"/>
      <c r="Q190" s="178"/>
      <c r="R190" s="178"/>
      <c r="S190" s="178"/>
      <c r="T190" s="178"/>
      <c r="U190" s="178"/>
      <c r="V190" s="178"/>
      <c r="W190" s="178"/>
      <c r="X190" s="737">
        <f t="shared" ca="1" si="47"/>
        <v>4.5510175492727289E-3</v>
      </c>
      <c r="Y190" s="737">
        <f ca="1">Y163/1000*N</f>
        <v>2.047957897172728E-2</v>
      </c>
      <c r="Z190" s="750">
        <f t="shared" ca="1" si="48"/>
        <v>0.13653052647818187</v>
      </c>
      <c r="AA190" s="750">
        <f t="shared" ca="1" si="49"/>
        <v>8.3650012468104606E-2</v>
      </c>
      <c r="AB190" s="658">
        <f t="shared" ca="1" si="50"/>
        <v>136.53052647818188</v>
      </c>
      <c r="AC190" s="658"/>
      <c r="AM190" s="102"/>
    </row>
    <row r="191" spans="1:39" x14ac:dyDescent="0.3">
      <c r="A191" s="123" t="s">
        <v>853</v>
      </c>
      <c r="L191" s="162"/>
      <c r="M191" s="83"/>
      <c r="N191" s="83"/>
      <c r="O191" s="83"/>
      <c r="P191" s="83"/>
      <c r="R191" s="83"/>
      <c r="S191" s="83"/>
      <c r="T191" s="83"/>
      <c r="U191" s="83"/>
      <c r="V191" s="83"/>
      <c r="W191" s="83"/>
      <c r="X191" s="735">
        <f t="shared" ca="1" si="47"/>
        <v>4.6375599405246416E-2</v>
      </c>
      <c r="Y191" s="747">
        <f ca="1">Y166*N/1000</f>
        <v>0.20869019732360888</v>
      </c>
      <c r="Z191" s="749">
        <f t="shared" ca="1" si="48"/>
        <v>1.3912679821573926</v>
      </c>
      <c r="AA191" s="749">
        <f t="shared" ca="1" si="49"/>
        <v>0.8524070554473292</v>
      </c>
      <c r="AB191" s="658">
        <f t="shared" ca="1" si="50"/>
        <v>1391.2679821573927</v>
      </c>
      <c r="AC191" s="658"/>
      <c r="AM191" s="102"/>
    </row>
    <row r="192" spans="1:39" x14ac:dyDescent="0.3">
      <c r="A192" s="126" t="s">
        <v>651</v>
      </c>
      <c r="D192" s="181"/>
      <c r="E192" s="181"/>
      <c r="F192" s="181"/>
      <c r="G192" s="181"/>
      <c r="H192" s="181"/>
      <c r="I192" s="181"/>
      <c r="J192" s="181"/>
      <c r="K192" s="181"/>
      <c r="L192" s="828"/>
      <c r="M192" s="708"/>
      <c r="N192" s="708"/>
      <c r="O192" s="708"/>
      <c r="P192" s="708"/>
      <c r="Q192" s="708"/>
      <c r="R192" s="708"/>
      <c r="S192" s="708"/>
      <c r="T192" s="708"/>
      <c r="U192" s="708"/>
      <c r="V192" s="708"/>
      <c r="W192" s="708"/>
      <c r="X192" s="735">
        <f t="shared" ca="1" si="47"/>
        <v>8.0298622915825294E-3</v>
      </c>
      <c r="Y192" s="366">
        <f ca="1">Y179/1000</f>
        <v>3.6134380312121385E-2</v>
      </c>
      <c r="Z192" s="748">
        <f t="shared" ca="1" si="48"/>
        <v>0.2408958687474759</v>
      </c>
      <c r="AA192" s="748">
        <f t="shared" ca="1" si="49"/>
        <v>0.1475929445526708</v>
      </c>
      <c r="AB192" s="658">
        <f t="shared" ca="1" si="50"/>
        <v>240.89586874747593</v>
      </c>
      <c r="AC192" s="658"/>
    </row>
    <row r="193" spans="1:39" x14ac:dyDescent="0.3">
      <c r="A193" s="606" t="str">
        <f>A181</f>
        <v>Port rental</v>
      </c>
      <c r="B193" s="708"/>
      <c r="C193" s="708"/>
      <c r="D193" s="181"/>
      <c r="E193" s="181"/>
      <c r="F193" s="181"/>
      <c r="G193" s="181"/>
      <c r="H193" s="181"/>
      <c r="I193" s="181"/>
      <c r="J193" s="181"/>
      <c r="K193" s="181"/>
      <c r="L193" s="828"/>
      <c r="M193" s="708"/>
      <c r="N193" s="708"/>
      <c r="O193" s="708"/>
      <c r="P193" s="708"/>
      <c r="Q193" s="708"/>
      <c r="R193" s="708"/>
      <c r="S193" s="708"/>
      <c r="T193" s="708"/>
      <c r="U193" s="708"/>
      <c r="V193" s="708"/>
      <c r="W193" s="708"/>
      <c r="X193" s="735">
        <f t="shared" ca="1" si="47"/>
        <v>0</v>
      </c>
      <c r="Y193" s="366">
        <f ca="1">Y181/1000</f>
        <v>0</v>
      </c>
      <c r="Z193" s="748">
        <f t="shared" ca="1" si="48"/>
        <v>0</v>
      </c>
      <c r="AA193" s="748">
        <f t="shared" ca="1" si="49"/>
        <v>0</v>
      </c>
      <c r="AB193" s="658">
        <f t="shared" ca="1" si="50"/>
        <v>0</v>
      </c>
      <c r="AC193" s="658"/>
    </row>
    <row r="194" spans="1:39" x14ac:dyDescent="0.3">
      <c r="A194" s="607" t="str">
        <f>A182</f>
        <v>PSV</v>
      </c>
      <c r="B194" s="719"/>
      <c r="C194" s="719"/>
      <c r="D194" s="376"/>
      <c r="E194" s="376"/>
      <c r="F194" s="376"/>
      <c r="G194" s="376"/>
      <c r="H194" s="376"/>
      <c r="I194" s="376"/>
      <c r="J194" s="376"/>
      <c r="K194" s="376"/>
      <c r="L194" s="829"/>
      <c r="M194" s="719"/>
      <c r="N194" s="719"/>
      <c r="O194" s="719"/>
      <c r="P194" s="719"/>
      <c r="Q194" s="719"/>
      <c r="R194" s="719"/>
      <c r="S194" s="719"/>
      <c r="T194" s="719"/>
      <c r="U194" s="719"/>
      <c r="V194" s="719"/>
      <c r="W194" s="719"/>
      <c r="X194" s="738">
        <f t="shared" ca="1" si="47"/>
        <v>0</v>
      </c>
      <c r="Y194" s="737">
        <f ca="1">Y182/1000</f>
        <v>0</v>
      </c>
      <c r="Z194" s="750">
        <f t="shared" ca="1" si="48"/>
        <v>0</v>
      </c>
      <c r="AA194" s="750">
        <f t="shared" ca="1" si="49"/>
        <v>0</v>
      </c>
      <c r="AB194" s="658">
        <f t="shared" ca="1" si="50"/>
        <v>0</v>
      </c>
      <c r="AC194" s="658"/>
    </row>
    <row r="195" spans="1:39" x14ac:dyDescent="0.3">
      <c r="A195" s="123" t="s">
        <v>651</v>
      </c>
      <c r="S195" s="119"/>
      <c r="X195" s="366">
        <f t="shared" ca="1" si="47"/>
        <v>8.0298622915825294E-3</v>
      </c>
      <c r="Y195" s="366">
        <f ca="1">SUM(Y192:Y194)</f>
        <v>3.6134380312121385E-2</v>
      </c>
      <c r="Z195" s="748">
        <f t="shared" ca="1" si="48"/>
        <v>0.2408958687474759</v>
      </c>
      <c r="AA195" s="748">
        <f t="shared" ca="1" si="49"/>
        <v>0.1475929445526708</v>
      </c>
      <c r="AB195" s="658">
        <f t="shared" ca="1" si="50"/>
        <v>240.89586874747593</v>
      </c>
      <c r="AC195" s="658"/>
    </row>
    <row r="196" spans="1:39" x14ac:dyDescent="0.3">
      <c r="A196" s="375" t="s">
        <v>515</v>
      </c>
      <c r="B196" s="720"/>
      <c r="C196" s="720"/>
      <c r="D196" s="375"/>
      <c r="E196" s="375"/>
      <c r="F196" s="375"/>
      <c r="G196" s="375"/>
      <c r="H196" s="375"/>
      <c r="I196" s="375"/>
      <c r="J196" s="375"/>
      <c r="K196" s="375"/>
      <c r="L196" s="830"/>
      <c r="M196" s="720"/>
      <c r="N196" s="720"/>
      <c r="O196" s="720"/>
      <c r="P196" s="720"/>
      <c r="Q196" s="720"/>
      <c r="R196" s="720"/>
      <c r="S196" s="720"/>
      <c r="T196" s="720"/>
      <c r="U196" s="720"/>
      <c r="V196" s="720"/>
      <c r="W196" s="720"/>
      <c r="X196" s="739">
        <f t="shared" ca="1" si="47"/>
        <v>5.4405461696828944E-2</v>
      </c>
      <c r="Y196" s="739">
        <f ca="1">Y195+Y191</f>
        <v>0.24482457763573026</v>
      </c>
      <c r="Z196" s="920">
        <f t="shared" ca="1" si="48"/>
        <v>1.6321638509048684</v>
      </c>
      <c r="AA196" s="920">
        <f t="shared" ca="1" si="49"/>
        <v>1</v>
      </c>
      <c r="AB196" s="660">
        <f t="shared" ca="1" si="50"/>
        <v>1632.1638509048685</v>
      </c>
      <c r="AC196" s="660"/>
      <c r="AM196" s="102"/>
    </row>
    <row r="197" spans="1:39" x14ac:dyDescent="0.3">
      <c r="S197" s="119"/>
      <c r="AC197" s="102"/>
      <c r="AD197" s="102"/>
    </row>
    <row r="198" spans="1:39" x14ac:dyDescent="0.3">
      <c r="S198" s="119"/>
      <c r="AC198" s="102"/>
      <c r="AD198" s="102"/>
    </row>
    <row r="199" spans="1:39" x14ac:dyDescent="0.3">
      <c r="S199" s="119"/>
    </row>
    <row r="200" spans="1:39" x14ac:dyDescent="0.3">
      <c r="S200" s="119"/>
    </row>
    <row r="201" spans="1:39" x14ac:dyDescent="0.3">
      <c r="S201" s="820"/>
    </row>
    <row r="202" spans="1:39" x14ac:dyDescent="0.3">
      <c r="S202" s="820"/>
    </row>
    <row r="203" spans="1:39" x14ac:dyDescent="0.3">
      <c r="S203" s="820"/>
    </row>
    <row r="204" spans="1:39" x14ac:dyDescent="0.3">
      <c r="S204" s="820"/>
    </row>
    <row r="205" spans="1:39" x14ac:dyDescent="0.3">
      <c r="S205" s="820"/>
    </row>
    <row r="216" spans="14:24" x14ac:dyDescent="0.3">
      <c r="N216" s="83"/>
      <c r="O216" s="83"/>
      <c r="Q216" s="119"/>
      <c r="X216" s="119"/>
    </row>
  </sheetData>
  <mergeCells count="5">
    <mergeCell ref="V8:Y8"/>
    <mergeCell ref="V76:Y76"/>
    <mergeCell ref="V100:Y100"/>
    <mergeCell ref="V141:Y141"/>
    <mergeCell ref="V168:Y168"/>
  </mergeCells>
  <phoneticPr fontId="18" type="noConversion"/>
  <pageMargins left="0.7" right="0.7" top="0.75" bottom="0.75" header="0.3" footer="0.3"/>
  <pageSetup paperSize="9" orientation="portrait" horizontalDpi="300" verticalDpi="300" r:id="rId1"/>
  <ignoredErrors>
    <ignoredError sqref="X63"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41155" r:id="rId4" name="Drop Down 195">
              <controlPr defaultSize="0" autoLine="0" autoPict="0">
                <anchor moveWithCells="1">
                  <from>
                    <xdr:col>6</xdr:col>
                    <xdr:colOff>47625</xdr:colOff>
                    <xdr:row>2</xdr:row>
                    <xdr:rowOff>85725</xdr:rowOff>
                  </from>
                  <to>
                    <xdr:col>7</xdr:col>
                    <xdr:colOff>466725</xdr:colOff>
                    <xdr:row>3</xdr:row>
                    <xdr:rowOff>123825</xdr:rowOff>
                  </to>
                </anchor>
              </controlPr>
            </control>
          </mc:Choice>
        </mc:AlternateContent>
        <mc:AlternateContent xmlns:mc="http://schemas.openxmlformats.org/markup-compatibility/2006">
          <mc:Choice Requires="x14">
            <control shapeId="41159" r:id="rId5" name="Drop Down 199">
              <controlPr defaultSize="0" autoLine="0" autoPict="0">
                <anchor moveWithCells="1">
                  <from>
                    <xdr:col>6</xdr:col>
                    <xdr:colOff>47625</xdr:colOff>
                    <xdr:row>4</xdr:row>
                    <xdr:rowOff>47625</xdr:rowOff>
                  </from>
                  <to>
                    <xdr:col>7</xdr:col>
                    <xdr:colOff>342900</xdr:colOff>
                    <xdr:row>5</xdr:row>
                    <xdr:rowOff>85725</xdr:rowOff>
                  </to>
                </anchor>
              </controlPr>
            </control>
          </mc:Choice>
        </mc:AlternateContent>
        <mc:AlternateContent xmlns:mc="http://schemas.openxmlformats.org/markup-compatibility/2006">
          <mc:Choice Requires="x14">
            <control shapeId="41194" r:id="rId6" name="Drop Down 234">
              <controlPr defaultSize="0" autoLine="0" autoPict="0">
                <anchor>
                  <from>
                    <xdr:col>0</xdr:col>
                    <xdr:colOff>95250</xdr:colOff>
                    <xdr:row>2</xdr:row>
                    <xdr:rowOff>104775</xdr:rowOff>
                  </from>
                  <to>
                    <xdr:col>0</xdr:col>
                    <xdr:colOff>1800225</xdr:colOff>
                    <xdr:row>3</xdr:row>
                    <xdr:rowOff>152400</xdr:rowOff>
                  </to>
                </anchor>
              </controlPr>
            </control>
          </mc:Choice>
        </mc:AlternateContent>
        <mc:AlternateContent xmlns:mc="http://schemas.openxmlformats.org/markup-compatibility/2006">
          <mc:Choice Requires="x14">
            <control shapeId="41195" r:id="rId7" name="Drop Down 235">
              <controlPr defaultSize="0" autoLine="0" autoPict="0">
                <anchor>
                  <from>
                    <xdr:col>0</xdr:col>
                    <xdr:colOff>1847850</xdr:colOff>
                    <xdr:row>2</xdr:row>
                    <xdr:rowOff>104775</xdr:rowOff>
                  </from>
                  <to>
                    <xdr:col>1</xdr:col>
                    <xdr:colOff>685800</xdr:colOff>
                    <xdr:row>3</xdr:row>
                    <xdr:rowOff>152400</xdr:rowOff>
                  </to>
                </anchor>
              </controlPr>
            </control>
          </mc:Choice>
        </mc:AlternateContent>
        <mc:AlternateContent xmlns:mc="http://schemas.openxmlformats.org/markup-compatibility/2006">
          <mc:Choice Requires="x14">
            <control shapeId="41196" r:id="rId8" name="Drop Down 236">
              <controlPr defaultSize="0" autoLine="0" autoPict="0">
                <anchor>
                  <from>
                    <xdr:col>2</xdr:col>
                    <xdr:colOff>752475</xdr:colOff>
                    <xdr:row>2</xdr:row>
                    <xdr:rowOff>104775</xdr:rowOff>
                  </from>
                  <to>
                    <xdr:col>3</xdr:col>
                    <xdr:colOff>638175</xdr:colOff>
                    <xdr:row>3</xdr:row>
                    <xdr:rowOff>152400</xdr:rowOff>
                  </to>
                </anchor>
              </controlPr>
            </control>
          </mc:Choice>
        </mc:AlternateContent>
        <mc:AlternateContent xmlns:mc="http://schemas.openxmlformats.org/markup-compatibility/2006">
          <mc:Choice Requires="x14">
            <control shapeId="41197" r:id="rId9" name="Drop Down 237">
              <controlPr defaultSize="0" autoLine="0" autoPict="0">
                <anchor>
                  <from>
                    <xdr:col>0</xdr:col>
                    <xdr:colOff>104775</xdr:colOff>
                    <xdr:row>4</xdr:row>
                    <xdr:rowOff>47625</xdr:rowOff>
                  </from>
                  <to>
                    <xdr:col>0</xdr:col>
                    <xdr:colOff>647700</xdr:colOff>
                    <xdr:row>5</xdr:row>
                    <xdr:rowOff>85725</xdr:rowOff>
                  </to>
                </anchor>
              </controlPr>
            </control>
          </mc:Choice>
        </mc:AlternateContent>
        <mc:AlternateContent xmlns:mc="http://schemas.openxmlformats.org/markup-compatibility/2006">
          <mc:Choice Requires="x14">
            <control shapeId="41198" r:id="rId10" name="Drop Down 238">
              <controlPr defaultSize="0" autoLine="0" autoPict="0">
                <anchor>
                  <from>
                    <xdr:col>0</xdr:col>
                    <xdr:colOff>704850</xdr:colOff>
                    <xdr:row>4</xdr:row>
                    <xdr:rowOff>47625</xdr:rowOff>
                  </from>
                  <to>
                    <xdr:col>0</xdr:col>
                    <xdr:colOff>1695450</xdr:colOff>
                    <xdr:row>5</xdr:row>
                    <xdr:rowOff>85725</xdr:rowOff>
                  </to>
                </anchor>
              </controlPr>
            </control>
          </mc:Choice>
        </mc:AlternateContent>
        <mc:AlternateContent xmlns:mc="http://schemas.openxmlformats.org/markup-compatibility/2006">
          <mc:Choice Requires="x14">
            <control shapeId="41199" r:id="rId11" name="Drop Down 239">
              <controlPr defaultSize="0" autoLine="0" autoPict="0">
                <anchor>
                  <from>
                    <xdr:col>0</xdr:col>
                    <xdr:colOff>1762125</xdr:colOff>
                    <xdr:row>4</xdr:row>
                    <xdr:rowOff>47625</xdr:rowOff>
                  </from>
                  <to>
                    <xdr:col>1</xdr:col>
                    <xdr:colOff>685800</xdr:colOff>
                    <xdr:row>5</xdr:row>
                    <xdr:rowOff>85725</xdr:rowOff>
                  </to>
                </anchor>
              </controlPr>
            </control>
          </mc:Choice>
        </mc:AlternateContent>
        <mc:AlternateContent xmlns:mc="http://schemas.openxmlformats.org/markup-compatibility/2006">
          <mc:Choice Requires="x14">
            <control shapeId="41200" r:id="rId12" name="Drop Down 240">
              <controlPr defaultSize="0" autoLine="0" autoPict="0">
                <anchor>
                  <from>
                    <xdr:col>1</xdr:col>
                    <xdr:colOff>742950</xdr:colOff>
                    <xdr:row>4</xdr:row>
                    <xdr:rowOff>47625</xdr:rowOff>
                  </from>
                  <to>
                    <xdr:col>2</xdr:col>
                    <xdr:colOff>504825</xdr:colOff>
                    <xdr:row>5</xdr:row>
                    <xdr:rowOff>85725</xdr:rowOff>
                  </to>
                </anchor>
              </controlPr>
            </control>
          </mc:Choice>
        </mc:AlternateContent>
        <mc:AlternateContent xmlns:mc="http://schemas.openxmlformats.org/markup-compatibility/2006">
          <mc:Choice Requires="x14">
            <control shapeId="41201" r:id="rId13" name="Check Box 241">
              <controlPr defaultSize="0" autoFill="0" autoLine="0" autoPict="0">
                <anchor moveWithCells="1">
                  <from>
                    <xdr:col>4</xdr:col>
                    <xdr:colOff>352425</xdr:colOff>
                    <xdr:row>4</xdr:row>
                    <xdr:rowOff>47625</xdr:rowOff>
                  </from>
                  <to>
                    <xdr:col>6</xdr:col>
                    <xdr:colOff>9525</xdr:colOff>
                    <xdr:row>5</xdr:row>
                    <xdr:rowOff>85725</xdr:rowOff>
                  </to>
                </anchor>
              </controlPr>
            </control>
          </mc:Choice>
        </mc:AlternateContent>
        <mc:AlternateContent xmlns:mc="http://schemas.openxmlformats.org/markup-compatibility/2006">
          <mc:Choice Requires="x14">
            <control shapeId="41202" r:id="rId14" name="Check Box 242">
              <controlPr defaultSize="0" autoFill="0" autoLine="0" autoPict="0">
                <anchor moveWithCells="1">
                  <from>
                    <xdr:col>4</xdr:col>
                    <xdr:colOff>352425</xdr:colOff>
                    <xdr:row>2</xdr:row>
                    <xdr:rowOff>104775</xdr:rowOff>
                  </from>
                  <to>
                    <xdr:col>6</xdr:col>
                    <xdr:colOff>19050</xdr:colOff>
                    <xdr:row>3</xdr:row>
                    <xdr:rowOff>142875</xdr:rowOff>
                  </to>
                </anchor>
              </controlPr>
            </control>
          </mc:Choice>
        </mc:AlternateContent>
        <mc:AlternateContent xmlns:mc="http://schemas.openxmlformats.org/markup-compatibility/2006">
          <mc:Choice Requires="x14">
            <control shapeId="41203" r:id="rId15" name="Check Box 243">
              <controlPr defaultSize="0" autoFill="0" autoLine="0" autoPict="0">
                <anchor moveWithCells="1">
                  <from>
                    <xdr:col>3</xdr:col>
                    <xdr:colOff>704850</xdr:colOff>
                    <xdr:row>2</xdr:row>
                    <xdr:rowOff>104775</xdr:rowOff>
                  </from>
                  <to>
                    <xdr:col>4</xdr:col>
                    <xdr:colOff>647700</xdr:colOff>
                    <xdr:row>3</xdr:row>
                    <xdr:rowOff>142875</xdr:rowOff>
                  </to>
                </anchor>
              </controlPr>
            </control>
          </mc:Choice>
        </mc:AlternateContent>
        <mc:AlternateContent xmlns:mc="http://schemas.openxmlformats.org/markup-compatibility/2006">
          <mc:Choice Requires="x14">
            <control shapeId="41204" r:id="rId16" name="Drop Down 244">
              <controlPr defaultSize="0" autoLine="0" autoPict="0">
                <anchor moveWithCells="1">
                  <from>
                    <xdr:col>2</xdr:col>
                    <xdr:colOff>581025</xdr:colOff>
                    <xdr:row>4</xdr:row>
                    <xdr:rowOff>47625</xdr:rowOff>
                  </from>
                  <to>
                    <xdr:col>3</xdr:col>
                    <xdr:colOff>638175</xdr:colOff>
                    <xdr:row>5</xdr:row>
                    <xdr:rowOff>85725</xdr:rowOff>
                  </to>
                </anchor>
              </controlPr>
            </control>
          </mc:Choice>
        </mc:AlternateContent>
        <mc:AlternateContent xmlns:mc="http://schemas.openxmlformats.org/markup-compatibility/2006">
          <mc:Choice Requires="x14">
            <control shapeId="41205" r:id="rId17" name="Drop Down 245">
              <controlPr defaultSize="0" autoLine="0" autoPict="0">
                <anchor>
                  <from>
                    <xdr:col>1</xdr:col>
                    <xdr:colOff>733425</xdr:colOff>
                    <xdr:row>2</xdr:row>
                    <xdr:rowOff>104775</xdr:rowOff>
                  </from>
                  <to>
                    <xdr:col>2</xdr:col>
                    <xdr:colOff>704850</xdr:colOff>
                    <xdr:row>3</xdr:row>
                    <xdr:rowOff>152400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rgb="FF009E47"/>
  </sheetPr>
  <dimension ref="A1:AT183"/>
  <sheetViews>
    <sheetView showGridLines="0" tabSelected="1" topLeftCell="E68" zoomScale="80" zoomScaleNormal="80" workbookViewId="0">
      <selection activeCell="AB98" sqref="AB98"/>
    </sheetView>
  </sheetViews>
  <sheetFormatPr defaultColWidth="8.875" defaultRowHeight="15" outlineLevelRow="1" outlineLevelCol="1" x14ac:dyDescent="0.3"/>
  <cols>
    <col min="1" max="1" width="42.375" customWidth="1"/>
    <col min="2" max="2" width="12" style="25" customWidth="1"/>
    <col min="3" max="3" width="23.375" style="29" customWidth="1"/>
    <col min="4" max="4" width="16.125" bestFit="1" customWidth="1"/>
    <col min="5" max="5" width="24" customWidth="1" outlineLevel="1"/>
    <col min="6" max="6" width="13.375" customWidth="1" outlineLevel="1"/>
    <col min="7" max="7" width="17.625" style="47" customWidth="1" outlineLevel="1" collapsed="1"/>
    <col min="8" max="9" width="12.375" customWidth="1"/>
    <col min="10" max="11" width="12.375" customWidth="1" outlineLevel="1"/>
    <col min="12" max="13" width="12.375" customWidth="1"/>
    <col min="14" max="18" width="12.375" customWidth="1" outlineLevel="1"/>
    <col min="19" max="20" width="12.375" customWidth="1"/>
    <col min="21" max="22" width="12.375" hidden="1" customWidth="1" outlineLevel="1"/>
    <col min="23" max="23" width="14.125" customWidth="1" collapsed="1"/>
    <col min="24" max="24" width="14.125" customWidth="1"/>
    <col min="25" max="33" width="12.375" customWidth="1"/>
    <col min="34" max="34" width="12.375" customWidth="1" outlineLevel="1"/>
    <col min="35" max="38" width="12.375" customWidth="1"/>
    <col min="39" max="39" width="12.375" style="15" customWidth="1"/>
    <col min="40" max="41" width="14.375" style="15" customWidth="1"/>
    <col min="42" max="42" width="12.375" style="15" customWidth="1"/>
    <col min="43" max="44" width="12.375" customWidth="1"/>
    <col min="45" max="45" width="11.375" customWidth="1"/>
    <col min="46" max="46" width="12" bestFit="1" customWidth="1"/>
  </cols>
  <sheetData>
    <row r="1" spans="1:42" ht="21" x14ac:dyDescent="0.3">
      <c r="A1" s="163" t="s">
        <v>427</v>
      </c>
    </row>
    <row r="2" spans="1:42" ht="14.25" customHeight="1" x14ac:dyDescent="0.3">
      <c r="A2" s="41" t="s">
        <v>295</v>
      </c>
      <c r="B2" s="343" t="s">
        <v>281</v>
      </c>
      <c r="C2" s="31" t="s">
        <v>282</v>
      </c>
      <c r="D2" s="31" t="s">
        <v>288</v>
      </c>
      <c r="E2" s="31" t="s">
        <v>715</v>
      </c>
      <c r="F2" s="41"/>
      <c r="G2" s="31"/>
      <c r="H2" s="41"/>
      <c r="AM2"/>
      <c r="AN2"/>
      <c r="AO2"/>
      <c r="AP2"/>
    </row>
    <row r="3" spans="1:42" ht="20.25" customHeight="1" x14ac:dyDescent="0.3">
      <c r="A3" s="43" t="s">
        <v>287</v>
      </c>
      <c r="B3" s="25" t="s">
        <v>51</v>
      </c>
      <c r="C3" s="450">
        <f ca="1">wing_area</f>
        <v>12</v>
      </c>
    </row>
    <row r="4" spans="1:42" ht="20.100000000000001" customHeight="1" x14ac:dyDescent="0.3">
      <c r="A4" s="43" t="s">
        <v>75</v>
      </c>
      <c r="B4" s="25" t="s">
        <v>285</v>
      </c>
      <c r="C4" s="450">
        <f ca="1">P</f>
        <v>150</v>
      </c>
    </row>
    <row r="5" spans="1:42" ht="20.25" customHeight="1" x14ac:dyDescent="0.3">
      <c r="A5" s="43" t="s">
        <v>714</v>
      </c>
      <c r="B5" s="25" t="s">
        <v>48</v>
      </c>
      <c r="C5" s="449">
        <f ca="1">avg_speed</f>
        <v>10.563903252812876</v>
      </c>
    </row>
    <row r="6" spans="1:42" ht="20.25" customHeight="1" x14ac:dyDescent="0.3">
      <c r="A6" s="43" t="s">
        <v>455</v>
      </c>
      <c r="B6" s="25" t="s">
        <v>444</v>
      </c>
      <c r="C6" s="355">
        <f ca="1">SUMPRODUCT(AJ83:AJ108,$AM83:$AM108)/10^6*24*365.25*Scenarios!D85</f>
        <v>528.86332173637288</v>
      </c>
      <c r="D6" s="45" t="s">
        <v>445</v>
      </c>
      <c r="E6" s="53"/>
    </row>
    <row r="7" spans="1:42" x14ac:dyDescent="0.3">
      <c r="A7" s="43" t="s">
        <v>21</v>
      </c>
      <c r="B7" s="25" t="s">
        <v>415</v>
      </c>
      <c r="C7" s="359">
        <f ca="1">AEP/(24*365.25*P*1000)*1000000</f>
        <v>0.40220801713922949</v>
      </c>
      <c r="D7" s="53" t="s">
        <v>446</v>
      </c>
      <c r="E7" s="53"/>
    </row>
    <row r="8" spans="1:42" x14ac:dyDescent="0.3">
      <c r="A8" s="43" t="s">
        <v>13</v>
      </c>
      <c r="B8" s="25" t="s">
        <v>48</v>
      </c>
      <c r="C8" s="44">
        <f ca="1">AL109</f>
        <v>15.539326163190678</v>
      </c>
    </row>
    <row r="9" spans="1:42" x14ac:dyDescent="0.3">
      <c r="A9" s="43" t="s">
        <v>161</v>
      </c>
      <c r="B9" s="444"/>
      <c r="C9" s="44">
        <f ca="1">(C69/C45+C108)/MeanWindAngle!M26</f>
        <v>15.178280209045923</v>
      </c>
      <c r="F9" s="29"/>
      <c r="H9" s="96"/>
      <c r="M9" s="96"/>
      <c r="N9" s="96"/>
      <c r="O9" s="96"/>
      <c r="P9" s="96"/>
      <c r="R9" s="96"/>
      <c r="S9" s="96"/>
      <c r="T9" s="96"/>
      <c r="U9" s="96"/>
      <c r="V9" s="96"/>
      <c r="W9" s="96"/>
      <c r="X9" s="96"/>
      <c r="Y9" s="96"/>
      <c r="Z9" s="96"/>
      <c r="AA9" s="96"/>
      <c r="AB9" s="96"/>
      <c r="AC9" s="96"/>
      <c r="AD9" s="96"/>
      <c r="AE9" s="96"/>
      <c r="AF9" s="96"/>
      <c r="AG9" s="96"/>
      <c r="AI9" s="96"/>
      <c r="AJ9" s="96"/>
      <c r="AK9" s="96"/>
      <c r="AL9" s="96"/>
    </row>
    <row r="10" spans="1:42" x14ac:dyDescent="0.3">
      <c r="A10" s="43" t="s">
        <v>33</v>
      </c>
      <c r="B10" s="444"/>
      <c r="C10" s="44">
        <f ca="1">AQ109</f>
        <v>15.962943287671695</v>
      </c>
      <c r="D10" s="1954">
        <f ca="1">C10/C5</f>
        <v>1.5110838205964452</v>
      </c>
      <c r="E10" t="s">
        <v>1730</v>
      </c>
      <c r="F10" s="29"/>
      <c r="J10" s="96"/>
      <c r="K10" s="96"/>
    </row>
    <row r="11" spans="1:42" x14ac:dyDescent="0.3">
      <c r="A11" s="43" t="s">
        <v>34</v>
      </c>
      <c r="B11" s="444"/>
      <c r="C11" s="44">
        <f ca="1">AR109</f>
        <v>8.4611657288917712</v>
      </c>
      <c r="F11" s="29"/>
      <c r="G11"/>
    </row>
    <row r="12" spans="1:42" x14ac:dyDescent="0.3">
      <c r="A12" s="43" t="s">
        <v>447</v>
      </c>
      <c r="B12" s="444"/>
      <c r="C12" s="46">
        <v>5</v>
      </c>
      <c r="F12" s="29"/>
      <c r="G12"/>
    </row>
    <row r="13" spans="1:42" x14ac:dyDescent="0.3">
      <c r="A13" s="43" t="s">
        <v>121</v>
      </c>
      <c r="B13" s="444"/>
      <c r="C13" s="49">
        <f ca="1">MeanWindAngle!BI66</f>
        <v>14.043278389323669</v>
      </c>
      <c r="F13" s="29"/>
      <c r="G13"/>
    </row>
    <row r="14" spans="1:42" x14ac:dyDescent="0.3">
      <c r="A14" s="43" t="s">
        <v>128</v>
      </c>
      <c r="B14" s="444"/>
      <c r="C14" s="44">
        <f ca="1">MeanWindAngle!BJ66+C8*(MeanWindAngle!BJ66=0)</f>
        <v>15.539326163190678</v>
      </c>
      <c r="F14" s="29"/>
    </row>
    <row r="15" spans="1:42" ht="15.75" thickBot="1" x14ac:dyDescent="0.35">
      <c r="A15" s="43" t="s">
        <v>129</v>
      </c>
      <c r="B15" s="444"/>
      <c r="C15" s="44">
        <f ca="1">MeanWindAngle!BK66</f>
        <v>12.608542589960958</v>
      </c>
      <c r="F15" s="29"/>
    </row>
    <row r="16" spans="1:42" ht="15.75" thickTop="1" x14ac:dyDescent="0.3">
      <c r="A16" s="666" t="s">
        <v>906</v>
      </c>
      <c r="B16" s="667" t="s">
        <v>444</v>
      </c>
      <c r="C16" s="668">
        <f ca="1">SUMPRODUCT(AK83:AK108,AM83:AM108)/10^6*24*365.25*Scenarios!D85</f>
        <v>528.87126768352675</v>
      </c>
      <c r="D16" s="669" t="s">
        <v>894</v>
      </c>
      <c r="E16" s="670"/>
      <c r="F16" s="670"/>
      <c r="G16" s="670"/>
      <c r="H16" s="670"/>
    </row>
    <row r="17" spans="1:42" x14ac:dyDescent="0.3">
      <c r="A17" s="43" t="s">
        <v>895</v>
      </c>
      <c r="B17" s="25" t="s">
        <v>444</v>
      </c>
      <c r="C17" s="355">
        <f ca="1">SUMPRODUCT(AJ83:AJ108,$AM83:$AM108)/10^6*(24*365.25-yearlyDowntime)*Scenarios!D85</f>
        <v>527.77113927276525</v>
      </c>
      <c r="D17" s="53" t="s">
        <v>896</v>
      </c>
      <c r="G17"/>
    </row>
    <row r="18" spans="1:42" x14ac:dyDescent="0.3">
      <c r="A18" s="43" t="s">
        <v>897</v>
      </c>
      <c r="B18" s="25" t="s">
        <v>898</v>
      </c>
      <c r="C18" s="355">
        <f ca="1">'Capex &amp; Opex'!S149+'Capex &amp; Opex'!S153+'Capex &amp; Opex'!S159+'Capex &amp; Opex'!S163</f>
        <v>18.103111111111112</v>
      </c>
      <c r="D18" s="53" t="s">
        <v>899</v>
      </c>
      <c r="G18"/>
    </row>
    <row r="19" spans="1:42" x14ac:dyDescent="0.3">
      <c r="A19" s="41" t="s">
        <v>162</v>
      </c>
      <c r="B19" s="445"/>
      <c r="C19" s="41"/>
      <c r="D19" s="41"/>
      <c r="E19" s="41"/>
      <c r="F19" s="41"/>
      <c r="G19" s="41"/>
      <c r="H19" s="41"/>
    </row>
    <row r="20" spans="1:42" x14ac:dyDescent="0.3">
      <c r="A20" s="43" t="s">
        <v>165</v>
      </c>
      <c r="B20" s="25" t="s">
        <v>48</v>
      </c>
      <c r="C20" s="49">
        <f ca="1">MeanWindAngle!AG65</f>
        <v>47.572580166099975</v>
      </c>
      <c r="D20" s="47"/>
      <c r="E20" s="47"/>
      <c r="F20" s="29"/>
      <c r="G20"/>
    </row>
    <row r="21" spans="1:42" x14ac:dyDescent="0.3">
      <c r="A21" s="43" t="s">
        <v>440</v>
      </c>
      <c r="B21" s="25" t="s">
        <v>175</v>
      </c>
      <c r="C21" s="49">
        <f ca="1">Q108</f>
        <v>833.48857504911859</v>
      </c>
      <c r="D21" s="47"/>
      <c r="E21" s="47"/>
      <c r="F21" s="29"/>
      <c r="G21"/>
    </row>
    <row r="22" spans="1:42" x14ac:dyDescent="0.3">
      <c r="A22" s="43" t="s">
        <v>441</v>
      </c>
      <c r="B22" s="25" t="s">
        <v>175</v>
      </c>
      <c r="C22" s="49">
        <f ca="1">C21-C38</f>
        <v>147.50137999243827</v>
      </c>
      <c r="D22" s="47"/>
      <c r="E22" s="47"/>
      <c r="F22" s="29"/>
      <c r="G22"/>
    </row>
    <row r="23" spans="1:42" x14ac:dyDescent="0.3">
      <c r="A23" s="43" t="s">
        <v>442</v>
      </c>
      <c r="B23" s="25" t="s">
        <v>173</v>
      </c>
      <c r="C23" s="49">
        <f ca="1">Performance!C51*Performance!C39</f>
        <v>48.453516021032392</v>
      </c>
      <c r="D23" s="210" t="s">
        <v>518</v>
      </c>
      <c r="E23" s="210"/>
      <c r="F23" s="29"/>
      <c r="G23"/>
    </row>
    <row r="24" spans="1:42" x14ac:dyDescent="0.3">
      <c r="A24" s="43" t="s">
        <v>443</v>
      </c>
      <c r="B24" s="25" t="s">
        <v>175</v>
      </c>
      <c r="C24" s="66">
        <f ca="1">SQRT(Tmax_t*1000/Scenarios!D73*4/PI())*1.1</f>
        <v>9.6144261892102973E-3</v>
      </c>
      <c r="D24" s="47"/>
      <c r="E24" s="47"/>
      <c r="F24" s="29"/>
      <c r="G24"/>
      <c r="X24" t="s">
        <v>1746</v>
      </c>
    </row>
    <row r="25" spans="1:42" x14ac:dyDescent="0.3">
      <c r="A25" s="43" t="s">
        <v>425</v>
      </c>
      <c r="B25" s="25" t="s">
        <v>173</v>
      </c>
      <c r="C25" s="49">
        <f ca="1">Mp+SIN(Scenarios!D75)*C23</f>
        <v>454.72055909502228</v>
      </c>
      <c r="D25" s="47"/>
      <c r="E25" s="47"/>
      <c r="F25" s="29"/>
      <c r="G25"/>
      <c r="X25" s="15">
        <v>7.3198198198198199</v>
      </c>
      <c r="Y25" s="15">
        <v>-5.3908355795148296E-4</v>
      </c>
      <c r="Z25" s="15">
        <v>0</v>
      </c>
    </row>
    <row r="26" spans="1:42" x14ac:dyDescent="0.3">
      <c r="C26"/>
      <c r="G26"/>
      <c r="X26" s="15">
        <v>8.0180180180180205</v>
      </c>
      <c r="Y26" s="15">
        <v>7.0080862533692702E-3</v>
      </c>
      <c r="Z26" s="15">
        <f t="shared" ref="Z26:Z34" si="0">Y26*1000000</f>
        <v>7008.0862533692698</v>
      </c>
      <c r="AM26"/>
      <c r="AN26"/>
      <c r="AO26"/>
      <c r="AP26"/>
    </row>
    <row r="27" spans="1:42" x14ac:dyDescent="0.3">
      <c r="A27" s="41" t="s">
        <v>450</v>
      </c>
      <c r="B27" s="445"/>
      <c r="C27" s="41"/>
      <c r="D27" s="41"/>
      <c r="E27" s="41"/>
      <c r="F27" s="41"/>
      <c r="G27" s="41"/>
      <c r="H27" s="41"/>
      <c r="X27" s="15">
        <v>9.0540540540540508</v>
      </c>
      <c r="Y27" s="15">
        <v>2.3719676549865201E-2</v>
      </c>
      <c r="Z27" s="15">
        <f t="shared" si="0"/>
        <v>23719.676549865202</v>
      </c>
      <c r="AM27"/>
      <c r="AN27"/>
      <c r="AO27"/>
      <c r="AP27"/>
    </row>
    <row r="28" spans="1:42" x14ac:dyDescent="0.3">
      <c r="A28" s="43" t="s">
        <v>45</v>
      </c>
      <c r="B28" s="444"/>
      <c r="C28" s="1953">
        <f ca="1">C59/(C58+(C59-C58)/Scenarios!D54)</f>
        <v>1</v>
      </c>
      <c r="E28" s="47" t="s">
        <v>40</v>
      </c>
      <c r="F28" s="1953">
        <f ca="1">F59/(F58+(F59-F58)/Scenarios!D54)</f>
        <v>1</v>
      </c>
      <c r="G28" s="59"/>
      <c r="K28" s="97"/>
      <c r="X28" s="15">
        <v>10.0225225225225</v>
      </c>
      <c r="Y28" s="15">
        <v>4.3126684636118601E-2</v>
      </c>
      <c r="Z28" s="15">
        <f t="shared" si="0"/>
        <v>43126.684636118604</v>
      </c>
    </row>
    <row r="29" spans="1:42" x14ac:dyDescent="0.3">
      <c r="A29" s="43" t="s">
        <v>44</v>
      </c>
      <c r="B29" s="444"/>
      <c r="C29" s="66">
        <f ca="1">F28</f>
        <v>1</v>
      </c>
      <c r="E29" s="43" t="s">
        <v>1725</v>
      </c>
      <c r="F29" s="98">
        <v>0.98</v>
      </c>
      <c r="G29" s="59"/>
      <c r="K29" s="97" t="s">
        <v>39</v>
      </c>
      <c r="X29" s="15">
        <v>11.0135135135135</v>
      </c>
      <c r="Y29" s="15">
        <v>6.4690026954177901E-2</v>
      </c>
      <c r="Z29" s="15">
        <f t="shared" si="0"/>
        <v>64690.026954177898</v>
      </c>
    </row>
    <row r="30" spans="1:42" x14ac:dyDescent="0.3">
      <c r="A30" s="43" t="s">
        <v>1722</v>
      </c>
      <c r="B30" s="444"/>
      <c r="C30" s="66">
        <f ca="1">MeanWindAngle!AL18*(MeanWindAngle!AP18="E")+MeanWindAngle!AM18*(MeanWindAngle!AP18="M")+MeanWindAngle!AN18*(MeanWindAngle!AP18="H")+MeanWindAngle!AO18*(MeanWindAngle!AP18="C")</f>
        <v>0.95490000000000019</v>
      </c>
      <c r="D30" s="1951">
        <f ca="1">MeanWindAngle!AM20</f>
        <v>0.86834814565704188</v>
      </c>
      <c r="E30" s="47" t="s">
        <v>1</v>
      </c>
      <c r="F30" s="1952">
        <f ca="1">C30</f>
        <v>0.95490000000000019</v>
      </c>
      <c r="G30" s="59" t="s">
        <v>1724</v>
      </c>
      <c r="K30" s="97"/>
      <c r="X30" s="15">
        <v>12.027027027027</v>
      </c>
      <c r="Y30" s="15">
        <v>8.4636118598382798E-2</v>
      </c>
      <c r="Z30" s="15">
        <f t="shared" si="0"/>
        <v>84636.118598382804</v>
      </c>
    </row>
    <row r="31" spans="1:42" x14ac:dyDescent="0.3">
      <c r="A31" s="43" t="s">
        <v>1723</v>
      </c>
      <c r="B31" s="444"/>
      <c r="C31" s="66">
        <f ca="1">MeanWindAngle!AL17*(MeanWindAngle!AP18="E")+MeanWindAngle!AM17*(MeanWindAngle!AP18="M")+MeanWindAngle!AN17*(MeanWindAngle!AP18="H")+MeanWindAngle!AO17*(MeanWindAngle!AP18="C")</f>
        <v>1</v>
      </c>
      <c r="E31" s="47" t="s">
        <v>42</v>
      </c>
      <c r="F31" s="66">
        <f ca="1">C31</f>
        <v>1</v>
      </c>
      <c r="G31" s="59"/>
      <c r="K31" s="97"/>
      <c r="X31" s="15">
        <v>13.040540540540499</v>
      </c>
      <c r="Y31" s="15">
        <v>0.102425876010781</v>
      </c>
      <c r="Z31" s="15">
        <f t="shared" si="0"/>
        <v>102425.87601078099</v>
      </c>
    </row>
    <row r="32" spans="1:42" x14ac:dyDescent="0.3">
      <c r="A32" s="43" t="s">
        <v>1729</v>
      </c>
      <c r="B32" s="444"/>
      <c r="C32" s="66">
        <f ca="1">AC109</f>
        <v>0.95980111937788204</v>
      </c>
      <c r="E32" s="47" t="s">
        <v>41</v>
      </c>
      <c r="F32" s="66"/>
      <c r="G32" s="139"/>
      <c r="L32" s="101"/>
      <c r="M32" s="101"/>
      <c r="X32" s="15">
        <v>14.054054054053999</v>
      </c>
      <c r="Y32" s="15">
        <v>0.11967654986522901</v>
      </c>
      <c r="Z32" s="15">
        <f t="shared" si="0"/>
        <v>119676.54986522901</v>
      </c>
    </row>
    <row r="33" spans="1:33" x14ac:dyDescent="0.3">
      <c r="A33" s="43"/>
      <c r="B33" s="685"/>
      <c r="C33" s="1956"/>
      <c r="D33" s="686"/>
      <c r="E33" s="1957"/>
      <c r="F33" s="1958"/>
      <c r="G33" s="1959"/>
      <c r="I33" s="100"/>
      <c r="L33" s="101"/>
      <c r="M33" s="101"/>
      <c r="X33" s="15">
        <v>15.0225225225225</v>
      </c>
      <c r="Y33" s="15">
        <v>0.13423180592991901</v>
      </c>
      <c r="Z33" s="15">
        <f t="shared" si="0"/>
        <v>134231.80592991901</v>
      </c>
    </row>
    <row r="34" spans="1:33" x14ac:dyDescent="0.3">
      <c r="A34" s="43"/>
      <c r="B34" s="685"/>
      <c r="C34" s="1958"/>
      <c r="D34" s="686"/>
      <c r="E34" s="686"/>
      <c r="F34" s="1958"/>
      <c r="G34" s="686"/>
      <c r="J34" s="47"/>
      <c r="L34" s="101"/>
      <c r="M34" s="101"/>
      <c r="X34" s="15">
        <v>16.036036036035998</v>
      </c>
      <c r="Y34" s="15">
        <v>0.14932614555256099</v>
      </c>
      <c r="Z34" s="15">
        <f t="shared" si="0"/>
        <v>149326.14555256098</v>
      </c>
    </row>
    <row r="35" spans="1:33" x14ac:dyDescent="0.3">
      <c r="A35" s="43"/>
      <c r="B35" s="1959"/>
      <c r="C35" s="1960"/>
      <c r="D35" s="686"/>
      <c r="E35" s="1957"/>
      <c r="F35" s="1958"/>
      <c r="G35" s="1959"/>
      <c r="I35" s="100"/>
      <c r="J35" s="47"/>
      <c r="L35" s="101"/>
      <c r="M35" s="101"/>
      <c r="X35" s="15">
        <v>17.004504504504499</v>
      </c>
      <c r="Y35" s="15">
        <v>0.164420485175202</v>
      </c>
      <c r="Z35" s="15">
        <v>150000</v>
      </c>
    </row>
    <row r="36" spans="1:33" x14ac:dyDescent="0.3">
      <c r="A36" s="43" t="s">
        <v>38</v>
      </c>
      <c r="B36" s="444"/>
      <c r="C36"/>
      <c r="E36" s="47" t="s">
        <v>110</v>
      </c>
      <c r="G36"/>
      <c r="K36" s="97"/>
      <c r="X36" s="15">
        <v>18.040540540540501</v>
      </c>
      <c r="Y36" s="15">
        <v>0.17789757412398899</v>
      </c>
      <c r="Z36" s="15">
        <v>150000</v>
      </c>
    </row>
    <row r="37" spans="1:33" x14ac:dyDescent="0.3">
      <c r="A37" s="43" t="s">
        <v>215</v>
      </c>
      <c r="B37" s="444"/>
      <c r="C37"/>
      <c r="E37" s="30" t="s">
        <v>109</v>
      </c>
      <c r="G37"/>
      <c r="H37" s="59"/>
      <c r="K37" s="97"/>
      <c r="X37" s="15">
        <v>19.009009009008999</v>
      </c>
      <c r="Y37" s="15">
        <v>0.19029649595687301</v>
      </c>
      <c r="Z37" s="15">
        <v>150000</v>
      </c>
    </row>
    <row r="38" spans="1:33" x14ac:dyDescent="0.3">
      <c r="A38" s="43" t="s">
        <v>8</v>
      </c>
      <c r="B38" s="25" t="s">
        <v>175</v>
      </c>
      <c r="C38" s="71">
        <f ca="1">C42*Scenarios!D64+Scenarios!D63</f>
        <v>685.98719505668032</v>
      </c>
      <c r="E38" s="47" t="s">
        <v>1705</v>
      </c>
      <c r="F38" s="49">
        <f ca="1">C38</f>
        <v>685.98719505668032</v>
      </c>
      <c r="G38"/>
      <c r="H38" s="59"/>
      <c r="K38" s="97"/>
    </row>
    <row r="39" spans="1:33" x14ac:dyDescent="0.3">
      <c r="A39" s="43" t="s">
        <v>146</v>
      </c>
      <c r="B39" s="25" t="s">
        <v>175</v>
      </c>
      <c r="C39" s="71">
        <f ca="1">C38*(1+C40*Scenarios!D95^1.4)</f>
        <v>809.4648901668827</v>
      </c>
      <c r="D39" s="210" t="s">
        <v>794</v>
      </c>
      <c r="F39" s="49">
        <f ca="1">C39</f>
        <v>809.4648901668827</v>
      </c>
      <c r="G39"/>
      <c r="H39" s="59"/>
      <c r="J39" s="47"/>
      <c r="Y39" s="84"/>
      <c r="Z39" s="84"/>
      <c r="AA39" s="84"/>
      <c r="AB39" s="84"/>
      <c r="AC39" s="84"/>
      <c r="AD39" s="84"/>
      <c r="AE39" s="84"/>
      <c r="AF39" s="84"/>
      <c r="AG39" s="84"/>
    </row>
    <row r="40" spans="1:33" x14ac:dyDescent="0.3">
      <c r="A40" s="43"/>
      <c r="B40" s="99" t="s">
        <v>451</v>
      </c>
      <c r="C40" s="1915">
        <v>0.18</v>
      </c>
      <c r="F40" s="49"/>
      <c r="G40" s="99"/>
      <c r="H40" s="59"/>
      <c r="J40" s="47"/>
      <c r="Y40" s="84"/>
      <c r="Z40" s="84"/>
      <c r="AA40" s="84"/>
      <c r="AB40" s="84"/>
      <c r="AC40" s="84"/>
      <c r="AD40" s="84"/>
      <c r="AE40" s="84"/>
      <c r="AF40" s="84"/>
      <c r="AG40" s="84"/>
    </row>
    <row r="41" spans="1:33" x14ac:dyDescent="0.3">
      <c r="A41" s="43"/>
      <c r="B41" s="99" t="s">
        <v>35</v>
      </c>
      <c r="C41" s="1916">
        <f ca="1">(C21-C39)/C21</f>
        <v>2.882305241055062E-2</v>
      </c>
      <c r="F41" s="49"/>
      <c r="G41" s="99"/>
      <c r="H41" s="59"/>
      <c r="J41" s="47"/>
      <c r="Y41" s="84"/>
      <c r="Z41" s="84"/>
      <c r="AA41" s="84"/>
      <c r="AB41" s="84"/>
      <c r="AC41" s="84"/>
      <c r="AD41" s="84"/>
      <c r="AE41" s="84"/>
      <c r="AF41" s="84"/>
      <c r="AG41" s="84"/>
    </row>
    <row r="42" spans="1:33" x14ac:dyDescent="0.3">
      <c r="A42" s="43" t="s">
        <v>102</v>
      </c>
      <c r="B42" s="25" t="s">
        <v>175</v>
      </c>
      <c r="C42" s="71">
        <f ca="1">Scenarios!D30*COS(Scenarios!D84)/(0.5*C52*Scenarios!D20*Scenarios!D68*SIN(Scenarios!D93)*SIN(Scenarios!D84))</f>
        <v>390.65813003778686</v>
      </c>
      <c r="G42"/>
      <c r="H42" s="59"/>
      <c r="J42" s="47"/>
      <c r="Y42" s="102"/>
      <c r="Z42" s="102"/>
      <c r="AA42" s="102"/>
      <c r="AB42" s="102"/>
      <c r="AC42" s="102"/>
      <c r="AD42" s="102"/>
      <c r="AE42" s="102"/>
      <c r="AF42" s="102"/>
      <c r="AG42" s="102"/>
    </row>
    <row r="43" spans="1:33" x14ac:dyDescent="0.3">
      <c r="A43" s="43" t="s">
        <v>452</v>
      </c>
      <c r="B43" s="25" t="s">
        <v>47</v>
      </c>
      <c r="C43" s="71">
        <f ca="1">C44*180/PI()</f>
        <v>11.028348437692941</v>
      </c>
      <c r="D43" s="47"/>
      <c r="E43" s="47"/>
      <c r="G43"/>
      <c r="H43" s="59"/>
      <c r="J43" s="47"/>
      <c r="Y43" s="102"/>
      <c r="Z43" s="102"/>
      <c r="AA43" s="102"/>
      <c r="AB43" s="102"/>
      <c r="AC43" s="102"/>
      <c r="AD43" s="102"/>
      <c r="AE43" s="102"/>
      <c r="AF43" s="102"/>
      <c r="AG43" s="102"/>
    </row>
    <row r="44" spans="1:33" x14ac:dyDescent="0.3">
      <c r="A44" s="43" t="s">
        <v>452</v>
      </c>
      <c r="B44" s="25" t="s">
        <v>54</v>
      </c>
      <c r="C44" s="71">
        <f ca="1">ASIN(Performance!C25/TAN(Scenarios!D84)/(0.5*rho*Scenarios!D20*Scenarios!D68*(C38+C39)/2))</f>
        <v>0.19248099129491453</v>
      </c>
      <c r="D44" s="47"/>
      <c r="E44" s="47"/>
      <c r="G44"/>
      <c r="H44" s="59"/>
      <c r="J44" s="47"/>
    </row>
    <row r="45" spans="1:33" x14ac:dyDescent="0.3">
      <c r="A45" s="43" t="s">
        <v>5</v>
      </c>
      <c r="B45" s="25" t="s">
        <v>50</v>
      </c>
      <c r="C45" s="71">
        <f ca="1">Scenarios!D65*Tmax_t*1000</f>
        <v>34020.000000000007</v>
      </c>
      <c r="D45" s="47"/>
      <c r="E45" s="47"/>
      <c r="F45" s="49">
        <f ca="1">C45</f>
        <v>34020.000000000007</v>
      </c>
      <c r="G45"/>
      <c r="J45" s="47"/>
    </row>
    <row r="46" spans="1:33" x14ac:dyDescent="0.3">
      <c r="A46" s="43" t="s">
        <v>11</v>
      </c>
      <c r="B46" s="25" t="s">
        <v>893</v>
      </c>
      <c r="C46" s="1994">
        <f ca="1">Scenarios!D71+(Scenarios!D68-Scenarios!D69)^2/PI()/Scenarios!D91/Scenarios!D70+0.25*Scenarios!D72*Performance!C24*(C38+C39)/2/Scenarios!D20</f>
        <v>0.33267482889734057</v>
      </c>
      <c r="D46" s="47"/>
      <c r="E46" s="47"/>
      <c r="F46" s="68">
        <f ca="1">CD</f>
        <v>0.33267482889734057</v>
      </c>
      <c r="G46"/>
      <c r="J46" s="47"/>
    </row>
    <row r="47" spans="1:33" x14ac:dyDescent="0.3">
      <c r="A47" s="43" t="s">
        <v>211</v>
      </c>
      <c r="B47" s="25" t="s">
        <v>893</v>
      </c>
      <c r="C47" s="71">
        <f ca="1">SQRT(PI()*A*Scenarios!D70*Scenarios!D71+Scenarios!D69^2)</f>
        <v>1.3340419882263042</v>
      </c>
      <c r="D47" s="47"/>
      <c r="E47" s="47"/>
      <c r="G47"/>
      <c r="J47" s="47"/>
    </row>
    <row r="48" spans="1:33" x14ac:dyDescent="0.3">
      <c r="A48" s="43" t="s">
        <v>212</v>
      </c>
      <c r="B48" s="25" t="s">
        <v>893</v>
      </c>
      <c r="C48" s="71">
        <f ca="1">Scenarios!D71+(C47-Scenarios!D69)^2/PI()/A/Scenarios!D70</f>
        <v>8.0686315882996754E-2</v>
      </c>
      <c r="D48" s="47"/>
      <c r="E48" s="47"/>
      <c r="F48" s="68">
        <f ca="1">C48</f>
        <v>8.0686315882996754E-2</v>
      </c>
      <c r="G48"/>
      <c r="J48" s="47"/>
    </row>
    <row r="49" spans="1:42" x14ac:dyDescent="0.3">
      <c r="A49" s="43" t="s">
        <v>213</v>
      </c>
      <c r="B49" s="25" t="s">
        <v>47</v>
      </c>
      <c r="C49" s="71">
        <f ca="1">ATAN(C48/C47)*180/PI()</f>
        <v>3.4611808056108515</v>
      </c>
      <c r="D49" s="47"/>
      <c r="E49" s="47"/>
      <c r="G49"/>
      <c r="J49" s="47"/>
    </row>
    <row r="50" spans="1:42" x14ac:dyDescent="0.3">
      <c r="A50" s="43" t="s">
        <v>214</v>
      </c>
      <c r="B50" s="25" t="s">
        <v>48</v>
      </c>
      <c r="C50" s="71">
        <f ca="1">SQRT(2*Scenarios!D30*9.81*COS(C49*PI()/180)/rho/C47/wing_area)</f>
        <v>21.211789304654744</v>
      </c>
      <c r="D50" s="47"/>
      <c r="E50" s="47"/>
      <c r="G50"/>
      <c r="J50" s="47"/>
    </row>
    <row r="51" spans="1:42" x14ac:dyDescent="0.3">
      <c r="A51" s="43" t="s">
        <v>448</v>
      </c>
      <c r="B51" s="25" t="s">
        <v>449</v>
      </c>
      <c r="C51" s="71">
        <f ca="1">970*0.85*PI()/4*Performance!C24^2</f>
        <v>5.9858700000000015E-2</v>
      </c>
      <c r="D51" s="47"/>
      <c r="E51" s="47"/>
      <c r="G51"/>
      <c r="J51" s="47"/>
    </row>
    <row r="52" spans="1:42" x14ac:dyDescent="0.3">
      <c r="A52" s="43" t="s">
        <v>1701</v>
      </c>
      <c r="B52" s="25" t="s">
        <v>1702</v>
      </c>
      <c r="C52" s="71">
        <v>1.22</v>
      </c>
      <c r="D52" s="47"/>
      <c r="E52" s="47"/>
      <c r="G52"/>
      <c r="J52" s="47"/>
    </row>
    <row r="53" spans="1:42" x14ac:dyDescent="0.3">
      <c r="A53" s="43" t="s">
        <v>1703</v>
      </c>
      <c r="B53" s="25" t="s">
        <v>1702</v>
      </c>
      <c r="C53" s="71">
        <f ca="1">C52*EXP(-(Scenarios!D101+(C38+L)/2*SIN(Scenarios!D75))/10400)</f>
        <v>1.1870094758122824</v>
      </c>
      <c r="D53" s="210" t="s">
        <v>1704</v>
      </c>
      <c r="E53" s="47"/>
      <c r="G53"/>
      <c r="J53" s="47"/>
    </row>
    <row r="54" spans="1:42" x14ac:dyDescent="0.3">
      <c r="C54" s="18"/>
      <c r="G54"/>
      <c r="AM54"/>
      <c r="AN54"/>
      <c r="AO54"/>
      <c r="AP54"/>
    </row>
    <row r="55" spans="1:42" x14ac:dyDescent="0.3">
      <c r="A55" s="41" t="s">
        <v>1737</v>
      </c>
      <c r="B55" s="445"/>
      <c r="C55" s="1917"/>
      <c r="D55" s="41"/>
      <c r="E55" s="41"/>
      <c r="F55" s="41"/>
      <c r="G55" s="41"/>
      <c r="H55" s="41"/>
      <c r="J55" s="47"/>
    </row>
    <row r="56" spans="1:42" x14ac:dyDescent="0.3">
      <c r="A56" s="43" t="s">
        <v>22</v>
      </c>
      <c r="B56" s="25" t="s">
        <v>48</v>
      </c>
      <c r="C56" s="71">
        <f ca="1">G108</f>
        <v>6.9803235322690123</v>
      </c>
      <c r="D56" s="1963" t="s">
        <v>1735</v>
      </c>
      <c r="F56" s="49">
        <f t="shared" ref="F56:F62" ca="1" si="1">C56</f>
        <v>6.9803235322690123</v>
      </c>
      <c r="G56"/>
      <c r="J56" s="47"/>
    </row>
    <row r="57" spans="1:42" x14ac:dyDescent="0.3">
      <c r="A57" s="43" t="s">
        <v>159</v>
      </c>
      <c r="B57" s="25" t="s">
        <v>48</v>
      </c>
      <c r="C57" s="71">
        <f ca="1">J108-G108</f>
        <v>5.3491425868641072</v>
      </c>
      <c r="D57" s="1963"/>
      <c r="F57" s="49">
        <f t="shared" ca="1" si="1"/>
        <v>5.3491425868641072</v>
      </c>
      <c r="G57"/>
      <c r="J57" s="47"/>
    </row>
    <row r="58" spans="1:42" x14ac:dyDescent="0.3">
      <c r="A58" s="43" t="s">
        <v>43</v>
      </c>
      <c r="B58" s="25" t="s">
        <v>453</v>
      </c>
      <c r="C58" s="71">
        <f ca="1">C$40*C$38/C56</f>
        <v>17.689394272254454</v>
      </c>
      <c r="D58" s="1963"/>
      <c r="F58" s="49">
        <f t="shared" ca="1" si="1"/>
        <v>17.689394272254454</v>
      </c>
      <c r="G58"/>
      <c r="J58" s="47"/>
    </row>
    <row r="59" spans="1:42" x14ac:dyDescent="0.3">
      <c r="A59" s="43" t="s">
        <v>137</v>
      </c>
      <c r="B59" s="25" t="s">
        <v>453</v>
      </c>
      <c r="C59" s="71">
        <f ca="1">T108</f>
        <v>23.654333872625948</v>
      </c>
      <c r="D59" s="1963"/>
      <c r="F59" s="49">
        <f t="shared" ca="1" si="1"/>
        <v>23.654333872625948</v>
      </c>
      <c r="G59"/>
      <c r="J59" s="47"/>
    </row>
    <row r="60" spans="1:42" x14ac:dyDescent="0.3">
      <c r="A60" s="43" t="s">
        <v>29</v>
      </c>
      <c r="B60" s="25" t="s">
        <v>73</v>
      </c>
      <c r="C60" s="1962">
        <f ca="1">P*1000/Scenarios!D55/Y108/Z108/AC108</f>
        <v>176344.31146926264</v>
      </c>
      <c r="D60" s="1963"/>
      <c r="F60" s="80">
        <f t="shared" ca="1" si="1"/>
        <v>176344.31146926264</v>
      </c>
      <c r="G60"/>
      <c r="J60" s="47"/>
    </row>
    <row r="61" spans="1:42" x14ac:dyDescent="0.3">
      <c r="A61" s="43" t="s">
        <v>28</v>
      </c>
      <c r="B61" s="25" t="s">
        <v>73</v>
      </c>
      <c r="C61" s="1962">
        <f ca="1">C60/C62</f>
        <v>235808.36607937646</v>
      </c>
      <c r="D61" s="1963"/>
      <c r="F61" s="80">
        <f t="shared" ca="1" si="1"/>
        <v>235808.36607937646</v>
      </c>
      <c r="G61"/>
      <c r="J61" s="47"/>
    </row>
    <row r="62" spans="1:42" x14ac:dyDescent="0.3">
      <c r="A62" s="43" t="s">
        <v>157</v>
      </c>
      <c r="B62" s="444"/>
      <c r="C62" s="71">
        <f ca="1">W108</f>
        <v>0.74782890192243068</v>
      </c>
      <c r="D62" s="1963"/>
      <c r="E62" s="47" t="s">
        <v>31</v>
      </c>
      <c r="F62" s="72">
        <f t="shared" ca="1" si="1"/>
        <v>0.74782890192243068</v>
      </c>
      <c r="G62"/>
    </row>
    <row r="63" spans="1:42" x14ac:dyDescent="0.3">
      <c r="C63" s="18"/>
      <c r="D63" s="1963"/>
      <c r="G63"/>
      <c r="AM63"/>
      <c r="AN63"/>
      <c r="AO63"/>
      <c r="AP63"/>
    </row>
    <row r="64" spans="1:42" x14ac:dyDescent="0.3">
      <c r="A64" s="41" t="s">
        <v>1738</v>
      </c>
      <c r="B64" s="445"/>
      <c r="C64" s="1917"/>
      <c r="D64" s="1964"/>
      <c r="E64" s="41"/>
      <c r="F64" s="41"/>
      <c r="G64" s="41"/>
      <c r="H64" s="41"/>
    </row>
    <row r="65" spans="1:42" x14ac:dyDescent="0.3">
      <c r="A65" s="43" t="s">
        <v>22</v>
      </c>
      <c r="B65" s="25" t="s">
        <v>48</v>
      </c>
      <c r="C65" s="71">
        <f ca="1">(-C75-SQRT(C75^2-4*C74*C76))/2/C74</f>
        <v>6.2558281807366631</v>
      </c>
      <c r="D65" s="1963"/>
      <c r="G65"/>
    </row>
    <row r="66" spans="1:42" x14ac:dyDescent="0.3">
      <c r="A66" s="43" t="s">
        <v>43</v>
      </c>
      <c r="B66" s="25" t="s">
        <v>453</v>
      </c>
      <c r="C66" s="71">
        <f ca="1">(C39-C38)/C65</f>
        <v>19.7380253329883</v>
      </c>
      <c r="D66" s="1963"/>
      <c r="G66"/>
    </row>
    <row r="67" spans="1:42" x14ac:dyDescent="0.3">
      <c r="A67" s="43" t="s">
        <v>137</v>
      </c>
      <c r="B67" s="25" t="s">
        <v>453</v>
      </c>
      <c r="C67" s="71">
        <f ca="1">(C39-C38)/C65+C73+C65/Scenarios!$D94</f>
        <v>25.666739912365212</v>
      </c>
      <c r="D67" s="1963"/>
      <c r="G67"/>
    </row>
    <row r="68" spans="1:42" x14ac:dyDescent="0.3">
      <c r="A68" s="43" t="s">
        <v>29</v>
      </c>
      <c r="B68" s="25" t="s">
        <v>73</v>
      </c>
      <c r="C68" s="1962">
        <f ca="1">P*1000/Scenarios!D55/C29/C30/C31/C32</f>
        <v>163663.60519457131</v>
      </c>
      <c r="D68" s="1963"/>
      <c r="G68"/>
    </row>
    <row r="69" spans="1:42" x14ac:dyDescent="0.3">
      <c r="A69" s="43" t="s">
        <v>28</v>
      </c>
      <c r="B69" s="25" t="s">
        <v>73</v>
      </c>
      <c r="C69" s="1962">
        <f ca="1">C68/C70</f>
        <v>212823.27470866134</v>
      </c>
      <c r="D69" s="1963"/>
      <c r="G69"/>
    </row>
    <row r="70" spans="1:42" x14ac:dyDescent="0.3">
      <c r="A70" s="43" t="s">
        <v>157</v>
      </c>
      <c r="B70" s="444"/>
      <c r="C70" s="71">
        <f ca="1">C72/C65</f>
        <v>0.76901177946168797</v>
      </c>
      <c r="D70" s="1965"/>
      <c r="E70" s="47"/>
      <c r="G70"/>
    </row>
    <row r="71" spans="1:42" s="23" customFormat="1" x14ac:dyDescent="0.3">
      <c r="A71" s="1976" t="s">
        <v>122</v>
      </c>
      <c r="B71" s="1977" t="s">
        <v>48</v>
      </c>
      <c r="C71" s="1978">
        <f ca="1">C46/CL^1.5*SQRT(Performance!C25*9.81/rho/Scenarios!D26)*3^0.75/MeanWindAngle!I26</f>
        <v>2.5721128659718073</v>
      </c>
      <c r="E71" s="1979" t="s">
        <v>160</v>
      </c>
      <c r="AM71" s="24"/>
      <c r="AN71" s="24"/>
      <c r="AO71" s="24"/>
      <c r="AP71" s="24"/>
    </row>
    <row r="72" spans="1:42" x14ac:dyDescent="0.3">
      <c r="A72" t="s">
        <v>23</v>
      </c>
      <c r="B72" s="444"/>
      <c r="C72" s="71">
        <f ca="1">C68/C45</f>
        <v>4.8108055612748757</v>
      </c>
      <c r="D72" s="1963"/>
      <c r="J72" s="47"/>
    </row>
    <row r="73" spans="1:42" x14ac:dyDescent="0.3">
      <c r="A73" t="s">
        <v>24</v>
      </c>
      <c r="B73" s="444"/>
      <c r="C73" s="71">
        <f ca="1">Scenarios!$D$88/Scenarios!$D$94+(C39-C38)/Scenarios!$D$88</f>
        <v>5.6159231703400794</v>
      </c>
      <c r="D73" s="1963"/>
      <c r="J73" s="47"/>
    </row>
    <row r="74" spans="1:42" x14ac:dyDescent="0.3">
      <c r="A74" t="s">
        <v>25</v>
      </c>
      <c r="B74" s="444"/>
      <c r="C74" s="71">
        <f ca="1">C72/Scenarios!$D94</f>
        <v>0.24054027806374378</v>
      </c>
      <c r="D74" s="1963"/>
      <c r="J74" s="47"/>
    </row>
    <row r="75" spans="1:42" x14ac:dyDescent="0.3">
      <c r="A75" t="s">
        <v>26</v>
      </c>
      <c r="B75" s="444"/>
      <c r="C75" s="71">
        <f ca="1">C72*C73-(C39-C38)</f>
        <v>-96.460580690637897</v>
      </c>
      <c r="D75" s="1963"/>
      <c r="J75" s="47"/>
    </row>
    <row r="76" spans="1:42" x14ac:dyDescent="0.3">
      <c r="A76" t="s">
        <v>27</v>
      </c>
      <c r="B76" s="444"/>
      <c r="C76" s="71">
        <f ca="1">C72*(C39-C38)</f>
        <v>594.02718232956511</v>
      </c>
      <c r="D76" s="1963"/>
      <c r="J76" s="47"/>
    </row>
    <row r="77" spans="1:42" x14ac:dyDescent="0.3">
      <c r="J77" s="47"/>
    </row>
    <row r="78" spans="1:42" x14ac:dyDescent="0.3">
      <c r="G78"/>
      <c r="J78" s="47"/>
      <c r="S78" s="103"/>
    </row>
    <row r="79" spans="1:42" x14ac:dyDescent="0.3">
      <c r="A79" s="59"/>
      <c r="B79" s="446"/>
      <c r="C79" s="104"/>
      <c r="F79" s="47"/>
      <c r="G79"/>
      <c r="AC79" t="s">
        <v>1726</v>
      </c>
      <c r="AJ79" s="15"/>
      <c r="AK79" s="661"/>
      <c r="AL79" s="15"/>
      <c r="AM79"/>
      <c r="AN79"/>
      <c r="AO79"/>
      <c r="AP79"/>
    </row>
    <row r="80" spans="1:42" x14ac:dyDescent="0.3">
      <c r="A80" s="59"/>
      <c r="B80" s="446"/>
      <c r="C80" s="104"/>
      <c r="F80" s="47"/>
      <c r="G80"/>
      <c r="Z80" t="s">
        <v>115</v>
      </c>
      <c r="AC80" t="s">
        <v>1727</v>
      </c>
      <c r="AE80" t="s">
        <v>115</v>
      </c>
      <c r="AF80" t="s">
        <v>115</v>
      </c>
      <c r="AH80" t="s">
        <v>115</v>
      </c>
      <c r="AI80" t="s">
        <v>115</v>
      </c>
      <c r="AJ80" s="15"/>
      <c r="AK80" s="661" t="s">
        <v>115</v>
      </c>
      <c r="AL80" s="15"/>
      <c r="AM80"/>
      <c r="AN80"/>
      <c r="AO80"/>
      <c r="AP80"/>
    </row>
    <row r="81" spans="1:46" s="105" customFormat="1" ht="86.1" hidden="1" customHeight="1" outlineLevel="1" x14ac:dyDescent="0.3">
      <c r="B81" s="447"/>
      <c r="C81" s="106"/>
      <c r="F81" s="105" t="s">
        <v>107</v>
      </c>
      <c r="J81" s="105" t="s">
        <v>115</v>
      </c>
      <c r="K81" s="48" t="s">
        <v>148</v>
      </c>
      <c r="L81" s="48"/>
      <c r="M81" s="48"/>
      <c r="N81" s="29" t="s">
        <v>115</v>
      </c>
      <c r="O81" t="s">
        <v>115</v>
      </c>
      <c r="P81" s="105" t="s">
        <v>115</v>
      </c>
      <c r="Q81" s="105" t="s">
        <v>115</v>
      </c>
      <c r="R81" s="105" t="s">
        <v>115</v>
      </c>
      <c r="U81" s="105" t="s">
        <v>115</v>
      </c>
      <c r="V81" s="105" t="s">
        <v>115</v>
      </c>
      <c r="AH81" s="105" t="s">
        <v>115</v>
      </c>
      <c r="AJ81" s="107"/>
      <c r="AK81" s="662"/>
      <c r="AL81" s="107"/>
    </row>
    <row r="82" spans="1:46" ht="45" collapsed="1" x14ac:dyDescent="0.3">
      <c r="A82" s="41" t="s">
        <v>14</v>
      </c>
      <c r="B82" s="343" t="s">
        <v>65</v>
      </c>
      <c r="C82" s="31" t="s">
        <v>100</v>
      </c>
      <c r="D82" s="31" t="s">
        <v>112</v>
      </c>
      <c r="E82" s="31" t="s">
        <v>1751</v>
      </c>
      <c r="F82" s="31" t="s">
        <v>1750</v>
      </c>
      <c r="G82" s="31" t="s">
        <v>119</v>
      </c>
      <c r="H82" s="31" t="s">
        <v>149</v>
      </c>
      <c r="I82" s="31" t="s">
        <v>149</v>
      </c>
      <c r="J82" s="31" t="s">
        <v>123</v>
      </c>
      <c r="K82" s="31" t="s">
        <v>158</v>
      </c>
      <c r="L82" s="31" t="s">
        <v>116</v>
      </c>
      <c r="M82" s="31" t="s">
        <v>149</v>
      </c>
      <c r="N82" s="31" t="s">
        <v>133</v>
      </c>
      <c r="O82" s="31" t="s">
        <v>134</v>
      </c>
      <c r="P82" s="31" t="s">
        <v>135</v>
      </c>
      <c r="Q82" s="31" t="s">
        <v>136</v>
      </c>
      <c r="R82" s="31" t="s">
        <v>166</v>
      </c>
      <c r="S82" s="31" t="s">
        <v>154</v>
      </c>
      <c r="T82" s="31" t="s">
        <v>137</v>
      </c>
      <c r="U82" s="31" t="s">
        <v>167</v>
      </c>
      <c r="V82" s="31" t="s">
        <v>168</v>
      </c>
      <c r="W82" s="31" t="s">
        <v>3</v>
      </c>
      <c r="X82" s="31"/>
      <c r="Y82" s="31" t="s">
        <v>2</v>
      </c>
      <c r="Z82" s="31" t="s">
        <v>144</v>
      </c>
      <c r="AA82" s="1946"/>
      <c r="AB82" s="31" t="s">
        <v>1709</v>
      </c>
      <c r="AC82" s="31" t="s">
        <v>145</v>
      </c>
      <c r="AD82" s="31" t="s">
        <v>152</v>
      </c>
      <c r="AE82" s="31" t="s">
        <v>1732</v>
      </c>
      <c r="AF82" s="31" t="s">
        <v>1734</v>
      </c>
      <c r="AG82" s="31" t="s">
        <v>1733</v>
      </c>
      <c r="AH82" s="31" t="s">
        <v>150</v>
      </c>
      <c r="AI82" s="31" t="s">
        <v>147</v>
      </c>
      <c r="AJ82" s="31" t="s">
        <v>117</v>
      </c>
      <c r="AK82" s="663" t="s">
        <v>907</v>
      </c>
      <c r="AL82" s="31" t="s">
        <v>13</v>
      </c>
      <c r="AM82" s="31" t="s">
        <v>15</v>
      </c>
      <c r="AN82" s="1946"/>
      <c r="AO82" s="1946"/>
      <c r="AP82" s="31" t="s">
        <v>20</v>
      </c>
      <c r="AQ82" s="31" t="s">
        <v>32</v>
      </c>
      <c r="AR82" s="31" t="s">
        <v>153</v>
      </c>
      <c r="AS82" s="1946"/>
      <c r="AT82" s="1946"/>
    </row>
    <row r="83" spans="1:46" x14ac:dyDescent="0.3">
      <c r="A83" s="108">
        <v>1E-4</v>
      </c>
      <c r="B83" s="448">
        <v>0</v>
      </c>
      <c r="C83" s="109">
        <f ca="1">C$46/(Scenarios!D$68*COS(C$44))^1.5*(B83)/SQRT(0.5*rho*Scenarios!D$20*E83)</f>
        <v>0</v>
      </c>
      <c r="D83" s="109">
        <v>0</v>
      </c>
      <c r="E83" s="109">
        <f ca="1">SQRT(B83^2+MeanWindAngle!C$5^2+2*MeanWindAngle!C$5*B83*MeanWindAngle!F$2)</f>
        <v>4460.8086847221684</v>
      </c>
      <c r="F83" s="15">
        <f t="shared" ref="F83:F108" ca="1" si="2">MIN(P*1000,D83*AE83)</f>
        <v>0</v>
      </c>
      <c r="G83" s="104">
        <v>0</v>
      </c>
      <c r="H83" s="104">
        <v>0</v>
      </c>
      <c r="I83" s="104">
        <v>0</v>
      </c>
      <c r="J83" s="104">
        <v>0</v>
      </c>
      <c r="K83" s="104">
        <f t="shared" ref="K83:K108" si="3">2*G83-J83</f>
        <v>0</v>
      </c>
      <c r="L83" s="29">
        <v>0</v>
      </c>
      <c r="M83" s="109">
        <v>-1</v>
      </c>
      <c r="N83" s="110">
        <v>0</v>
      </c>
      <c r="O83" s="110">
        <v>0</v>
      </c>
      <c r="P83" s="29">
        <v>0</v>
      </c>
      <c r="Q83" s="103">
        <f t="shared" ref="Q83:Q108" ca="1" si="4">C$38*(1+P83)/(1-P83)</f>
        <v>685.98719505668032</v>
      </c>
      <c r="R83" s="110">
        <f ca="1">MAX(0,(C$39-C$38)/(Q83-C$38-0.0000001))</f>
        <v>0</v>
      </c>
      <c r="S83" s="103">
        <f ca="1">MIN(Scenarios!D$88,Scenarios!D$87*A83)*(Scenarios!D$86="Y")+Scenarios!D$88*(Scenarios!D$86&lt;&gt;"Y")</f>
        <v>30</v>
      </c>
      <c r="T83" s="103">
        <f ca="1">MAX(1,(C$39-C$38)*(1/S83+1/(-0.0000001+G83))+G83/Scenarios!D$94+S83/Scenarios!D$94)</f>
        <v>1</v>
      </c>
      <c r="U83" s="103">
        <f t="shared" ref="U83:U108" ca="1" si="5">(C$39-C$38)/(0.0000001+G83)</f>
        <v>1234776951.1020238</v>
      </c>
      <c r="V83" s="103">
        <f t="shared" ref="V83:V108" ca="1" si="6">T83-(C$39-C$38)/(0.0000001+G83)</f>
        <v>-1234776950.1020238</v>
      </c>
      <c r="W83" s="104">
        <f ca="1">MAX(0,(C$39-C$38)/(-0.0000001+G83)/T83)</f>
        <v>0</v>
      </c>
      <c r="X83" s="104">
        <f ca="1">W83*(AL83&gt;0)</f>
        <v>0</v>
      </c>
      <c r="Y83" s="104">
        <f ca="1">T83/(C$40*C$38/(G83+0.00001)+(T83-C$40*C$38/(G83+0.0001))/Scenarios!D$54)</f>
        <v>8.9984754747519085E-8</v>
      </c>
      <c r="Z83" s="104">
        <v>0</v>
      </c>
      <c r="AA83" s="104"/>
      <c r="AB83" s="1918">
        <f ca="1">Scenarios!$D$71+((2*9.81*Mp_t/rho/(S83+A83)^2/wing_area)-Scenarios!$D$69)^2/PI()/A/Scenarios!$D$70</f>
        <v>6.00932450127366E-2</v>
      </c>
      <c r="AC83" s="1885">
        <v>0</v>
      </c>
      <c r="AD83" s="111">
        <f t="shared" ref="AD83:AD108" ca="1" si="7">AC83*AJ83*AM83</f>
        <v>0</v>
      </c>
      <c r="AE83" s="111">
        <f ca="1">W83*Y83*Z83*Scenarios!D$55*AC83</f>
        <v>0</v>
      </c>
      <c r="AF83" s="111">
        <f ca="1">AE83*AJ83*AM83</f>
        <v>0</v>
      </c>
      <c r="AG83" s="1918">
        <f ca="1">W83*Y83*Scenarios!D$55*AC83</f>
        <v>0</v>
      </c>
      <c r="AH83" s="104">
        <f t="shared" ref="AH83:AH108" ca="1" si="8">W83*AC83</f>
        <v>0</v>
      </c>
      <c r="AI83" s="109">
        <f t="shared" ref="AI83:AI108" ca="1" si="9">W83*AC83*AJ83*AM83/AP$108</f>
        <v>0</v>
      </c>
      <c r="AJ83" s="1961">
        <f ca="1">MIN(P*1000,L83*AG83)</f>
        <v>0</v>
      </c>
      <c r="AK83" s="664">
        <f t="shared" ref="AK83:AK108" ca="1" si="10">L83*AH83</f>
        <v>0</v>
      </c>
      <c r="AL83" s="103">
        <v>0</v>
      </c>
      <c r="AM83" s="29">
        <f ca="1">$A83/Scenarios!$D$17^2*EXP(-0.5*($A83/Scenarios!$D$17)^2)</f>
        <v>1.4068678709234014E-6</v>
      </c>
      <c r="AN83" s="29"/>
      <c r="AO83" s="109"/>
      <c r="AP83" s="111">
        <f ca="1">$AM83*AJ83</f>
        <v>0</v>
      </c>
      <c r="AQ83" s="103">
        <v>0</v>
      </c>
      <c r="AR83" s="103">
        <v>0</v>
      </c>
      <c r="AS83" s="1882"/>
    </row>
    <row r="84" spans="1:46" x14ac:dyDescent="0.3">
      <c r="A84">
        <v>1</v>
      </c>
      <c r="B84" s="448">
        <f ca="1">MIN(C$45,4/18*(Scenarios!D$68*COS(C$44))^3/C$46^2*rho*Scenarios!D$20*(A84*MeanWindAngle!E$2)^2)</f>
        <v>215.32125331349559</v>
      </c>
      <c r="C84" s="109">
        <f ca="1">C$46/(Scenarios!D$68*COS(C$44))^1.5*(B84)/SQRT(0.5*rho*Scenarios!D$20*E84)</f>
        <v>0.1345272423662642</v>
      </c>
      <c r="D84" s="109">
        <f ca="1">MAX(0,B84*(A84*MeanWindAngle!E$2-C84))*(A84&gt;C$71)*(A84&gt;Scenarios!D$96)</f>
        <v>0</v>
      </c>
      <c r="E84" s="109">
        <f ca="1">SQRT(B84^2+MeanWindAngle!C$5^2+2*MeanWindAngle!C$5*B84*MeanWindAngle!F$2)</f>
        <v>4545.8554543584578</v>
      </c>
      <c r="F84" s="15">
        <f t="shared" ca="1" si="2"/>
        <v>0</v>
      </c>
      <c r="G84" s="104">
        <f ca="1">D84/B84*(H84=1)*(H83=0)/(1+M84+0.0000001)+(H83=1)*G83+D84/B84*(H84=0)</f>
        <v>0</v>
      </c>
      <c r="H84" s="104">
        <f t="shared" ref="H84:H108" ca="1" si="11">(I84&gt;0)*1</f>
        <v>0</v>
      </c>
      <c r="I84" s="104">
        <f ca="1">(M83&lt;0)*(M84&gt;0)</f>
        <v>0</v>
      </c>
      <c r="J84" s="104">
        <f ca="1">MAX(0,G84+MeanWindAngle!AL41)</f>
        <v>15.376385216063184</v>
      </c>
      <c r="K84" s="104">
        <f t="shared" ca="1" si="3"/>
        <v>-15.376385216063184</v>
      </c>
      <c r="L84" s="111">
        <f ca="1">MAX(0,MeanWindAngle!AM41)</f>
        <v>0</v>
      </c>
      <c r="M84" s="109">
        <f ca="1">L83*AG83/Scenarios!D$23/1000-1</f>
        <v>-1</v>
      </c>
      <c r="N84" s="110">
        <f ca="1">MeanWindAngle!AG41</f>
        <v>16.53789064234088</v>
      </c>
      <c r="O84" s="110">
        <f t="shared" ref="O84:O108" ca="1" si="12">N84*COS(ASIN(C84/N84))</f>
        <v>16.537343478294432</v>
      </c>
      <c r="P84" s="109">
        <f ca="1">Scenarios!D$95*PI()*SIN(Scenarios!D$84)*G84/O84</f>
        <v>0</v>
      </c>
      <c r="Q84" s="103">
        <f t="shared" ca="1" si="4"/>
        <v>685.98719505668032</v>
      </c>
      <c r="R84" s="110">
        <f t="shared" ref="R84:R108" ca="1" si="13">MAX(0,(C$39-C$38)/(Q84-C$38-0.0000001))</f>
        <v>0</v>
      </c>
      <c r="S84" s="103">
        <f ca="1">MIN(Scenarios!D$88,Scenarios!D$87*A84)*(Scenarios!D$86="Y")+Scenarios!D$88*(Scenarios!D$86&lt;&gt;"Y")</f>
        <v>30</v>
      </c>
      <c r="T84" s="103">
        <f ca="1">MAX(1,(C$39-C$38)*(1/S84+1/(-0.0000001+G84))+G84/Scenarios!D$94+S84/Scenarios!D$94)</f>
        <v>1</v>
      </c>
      <c r="U84" s="103">
        <f t="shared" ca="1" si="5"/>
        <v>1234776951.1020238</v>
      </c>
      <c r="V84" s="103">
        <f t="shared" ca="1" si="6"/>
        <v>-1234776950.1020238</v>
      </c>
      <c r="W84" s="104">
        <f t="shared" ref="W84:W108" ca="1" si="14">MAX(0,(C$39-C$38)/(-0.0000001+G84)/T84)</f>
        <v>0</v>
      </c>
      <c r="X84" s="104">
        <f t="shared" ref="X84:X108" ca="1" si="15">W84*(AL84&gt;0)</f>
        <v>0</v>
      </c>
      <c r="Y84" s="104">
        <f ca="1">T84/(C$40*C$38/(G84+0.00001)+(T84-C$40*C$38/(G84+0.0001))/Scenarios!D$54)</f>
        <v>8.9984754747519085E-8</v>
      </c>
      <c r="Z84" s="104">
        <f ca="1">MeanWindAngle!AN41</f>
        <v>0</v>
      </c>
      <c r="AA84" s="104"/>
      <c r="AB84" s="1918">
        <f ca="1">Scenarios!$D$71+((2*9.81*Mp_t/rho/(S84+A84)^2/wing_area)-Scenarios!$D$69)^2/PI()/A/Scenarios!$D$70</f>
        <v>6.0000136260647562E-2</v>
      </c>
      <c r="AC84" s="1885">
        <f ca="1">MAX(0,(B84-AB84*0.5*rho*(S84+A84)^2*wing_area/Scenarios!D$54/C$30/C$31^2/(MeanWindAngle!AN41+0.0000001))/B84)</f>
        <v>0</v>
      </c>
      <c r="AD84" s="111">
        <f t="shared" ca="1" si="7"/>
        <v>0</v>
      </c>
      <c r="AE84" s="111">
        <f ca="1">W84*Y84*Z84*Scenarios!D$55*AC84</f>
        <v>0</v>
      </c>
      <c r="AF84" s="111">
        <f t="shared" ref="AF84:AF108" ca="1" si="16">AE84*AJ84*AM84</f>
        <v>0</v>
      </c>
      <c r="AG84" s="1918">
        <f ca="1">W84*Y84*Scenarios!D$55*AC84</f>
        <v>0</v>
      </c>
      <c r="AH84" s="104">
        <f t="shared" ca="1" si="8"/>
        <v>0</v>
      </c>
      <c r="AI84" s="109">
        <f t="shared" ca="1" si="9"/>
        <v>0</v>
      </c>
      <c r="AJ84" s="1961">
        <f t="shared" ref="AJ84:AJ108" ca="1" si="17">MIN(P*1000,L84*AG84)</f>
        <v>0</v>
      </c>
      <c r="AK84" s="664">
        <f t="shared" ca="1" si="10"/>
        <v>0</v>
      </c>
      <c r="AL84" s="103">
        <v>0</v>
      </c>
      <c r="AM84" s="29">
        <f ca="1">$A84/Scenarios!$D$17^2*EXP(-0.5*($A84/Scenarios!$D$17)^2)</f>
        <v>1.397006210786607E-2</v>
      </c>
      <c r="AN84" s="29"/>
      <c r="AO84" s="109"/>
      <c r="AP84" s="111">
        <f t="shared" ref="AP84:AP108" ca="1" si="18">$AM84*AJ84+AP83</f>
        <v>0</v>
      </c>
      <c r="AQ84" s="103">
        <f t="shared" ref="AQ84:AQ108" ca="1" si="19">($A84+(AP84-(AP$108/2))/(AP84-AP83+0.0000001))*(AP84&gt;(AP$108/2))*(AP83&lt;(AP$108/2))</f>
        <v>0</v>
      </c>
      <c r="AR84" s="103">
        <f t="shared" ref="AR84:AR108" ca="1" si="20">($A84+(AP84-(AP$108*$C$12/100))/(AP84-AP83+0.0000001))*(AP84&gt;(AP$108*$C$12/100))*(AP83&lt;(AP$108*$C$12/100))</f>
        <v>0</v>
      </c>
      <c r="AS84" s="1883"/>
      <c r="AT84" s="1884"/>
    </row>
    <row r="85" spans="1:46" x14ac:dyDescent="0.3">
      <c r="A85" s="105">
        <v>2</v>
      </c>
      <c r="B85" s="448">
        <f ca="1">MIN(C$45,4/18*(Scenarios!D$68*COS(C$44))^3/C$46^2*rho*Scenarios!D$20*(A85*MeanWindAngle!E$2)^2)</f>
        <v>861.28501325398236</v>
      </c>
      <c r="C85" s="109">
        <f ca="1">C$46/(Scenarios!D$68*COS(C$44))^1.5*(B85)/SQRT(0.5*rho*Scenarios!D$20*E85)</f>
        <v>0.52098204696962702</v>
      </c>
      <c r="D85" s="109">
        <f ca="1">MAX(0,B85*(A85*MeanWindAngle!E$2-C85))*(A85&gt;C$71)*(A85&gt;Scenarios!D$96)</f>
        <v>0</v>
      </c>
      <c r="E85" s="109">
        <f ca="1">SQRT(B85^2+MeanWindAngle!C$5^2+2*MeanWindAngle!C$5*B85*MeanWindAngle!F$2)</f>
        <v>4849.6519244318906</v>
      </c>
      <c r="F85" s="15">
        <f t="shared" ca="1" si="2"/>
        <v>0</v>
      </c>
      <c r="G85" s="104">
        <f ca="1">D85/B85</f>
        <v>0</v>
      </c>
      <c r="H85" s="104">
        <f t="shared" ca="1" si="11"/>
        <v>0</v>
      </c>
      <c r="I85" s="104">
        <f t="shared" ref="I85:I108" ca="1" si="21">(M84&lt;0)*(M85&gt;0)+I84</f>
        <v>0</v>
      </c>
      <c r="J85" s="104">
        <f ca="1">MAX(0,G85+MeanWindAngle!AL42)</f>
        <v>15.414449567687763</v>
      </c>
      <c r="K85" s="104">
        <f t="shared" ca="1" si="3"/>
        <v>-15.414449567687763</v>
      </c>
      <c r="L85" s="111">
        <f ca="1">MAX(0,MeanWindAngle!AM42)</f>
        <v>0</v>
      </c>
      <c r="M85" s="109">
        <f ca="1">2*L84*AG84/Scenarios!D$23/1000-L83*AG83/Scenarios!D$23/1000-1</f>
        <v>-1</v>
      </c>
      <c r="N85" s="110">
        <f ca="1">MeanWindAngle!AG42</f>
        <v>16.703030258657673</v>
      </c>
      <c r="O85" s="110">
        <f t="shared" ca="1" si="12"/>
        <v>16.69490333989296</v>
      </c>
      <c r="P85" s="109">
        <f ca="1">Scenarios!D$95*PI()*SIN(Scenarios!D$84)*G85/O85</f>
        <v>0</v>
      </c>
      <c r="Q85" s="103">
        <f t="shared" ca="1" si="4"/>
        <v>685.98719505668032</v>
      </c>
      <c r="R85" s="110">
        <f t="shared" ca="1" si="13"/>
        <v>0</v>
      </c>
      <c r="S85" s="103">
        <f ca="1">MIN(Scenarios!D$88,Scenarios!D$87*A85)*(Scenarios!D$86="Y")+Scenarios!D$88*(Scenarios!D$86&lt;&gt;"Y")</f>
        <v>30</v>
      </c>
      <c r="T85" s="103">
        <f ca="1">MAX(1,(C$39-C$38)*(1/S85+1/(-0.0000001+G85))+G85/Scenarios!D$94+S85/Scenarios!D$94)</f>
        <v>1</v>
      </c>
      <c r="U85" s="103">
        <f t="shared" ca="1" si="5"/>
        <v>1234776951.1020238</v>
      </c>
      <c r="V85" s="103">
        <f t="shared" ca="1" si="6"/>
        <v>-1234776950.1020238</v>
      </c>
      <c r="W85" s="104">
        <f t="shared" ca="1" si="14"/>
        <v>0</v>
      </c>
      <c r="X85" s="104">
        <f t="shared" ca="1" si="15"/>
        <v>0</v>
      </c>
      <c r="Y85" s="104">
        <f ca="1">T85/(C$40*C$38/(G85+0.00001)+(T85-C$40*C$38/(G85+0.0001))/Scenarios!D$54)</f>
        <v>8.9984754747519085E-8</v>
      </c>
      <c r="Z85" s="104">
        <f ca="1">MeanWindAngle!AN42</f>
        <v>0</v>
      </c>
      <c r="AA85" s="104"/>
      <c r="AB85" s="1918">
        <f ca="1">Scenarios!$D$71+((2*9.81*Mp_t/rho/(S85+A85)^2/wing_area)-Scenarios!$D$69)^2/PI()/A/Scenarios!$D$70</f>
        <v>6.0064995261352568E-2</v>
      </c>
      <c r="AC85" s="1885">
        <f ca="1">MAX(0,(B85-AB85*0.5*rho*(S85+A85)^2*wing_area/Scenarios!D$54/C$30/C$31^2/(MeanWindAngle!AN42+0.0000001))/B85)</f>
        <v>0</v>
      </c>
      <c r="AD85" s="111">
        <f t="shared" ca="1" si="7"/>
        <v>0</v>
      </c>
      <c r="AE85" s="111">
        <f ca="1">W85*Y85*Z85*Scenarios!D$55*AC85</f>
        <v>0</v>
      </c>
      <c r="AF85" s="111">
        <f t="shared" ca="1" si="16"/>
        <v>0</v>
      </c>
      <c r="AG85" s="1918">
        <f ca="1">W85*Y85*Scenarios!D$55*AC85</f>
        <v>0</v>
      </c>
      <c r="AH85" s="104">
        <f t="shared" ca="1" si="8"/>
        <v>0</v>
      </c>
      <c r="AI85" s="109">
        <f t="shared" ca="1" si="9"/>
        <v>0</v>
      </c>
      <c r="AJ85" s="1961">
        <f t="shared" ca="1" si="17"/>
        <v>0</v>
      </c>
      <c r="AK85" s="664">
        <f t="shared" ca="1" si="10"/>
        <v>0</v>
      </c>
      <c r="AL85" s="103">
        <f t="shared" ref="AL85:AL108" ca="1" si="22">(H85=1)*(H84=0)*(A83+(AJ85-AJ83)/(AJ84-AJ83+0.0000001))</f>
        <v>0</v>
      </c>
      <c r="AM85" s="29">
        <f ca="1">$A85/Scenarios!$D$17^2*EXP(-0.5*($A85/Scenarios!$D$17)^2)</f>
        <v>2.7356681126938204E-2</v>
      </c>
      <c r="AN85" s="29"/>
      <c r="AO85" s="109"/>
      <c r="AP85" s="111">
        <f t="shared" ca="1" si="18"/>
        <v>0</v>
      </c>
      <c r="AQ85" s="103">
        <f t="shared" ca="1" si="19"/>
        <v>0</v>
      </c>
      <c r="AR85" s="103">
        <f t="shared" ca="1" si="20"/>
        <v>0</v>
      </c>
      <c r="AS85" s="1883"/>
      <c r="AT85" s="1884"/>
    </row>
    <row r="86" spans="1:46" x14ac:dyDescent="0.3">
      <c r="A86" s="105">
        <v>3</v>
      </c>
      <c r="B86" s="448">
        <f ca="1">MIN(C$45,4/18*(Scenarios!D$68*COS(C$44))^3/C$46^2*rho*Scenarios!D$20*(A86*MeanWindAngle!E$2)^2)</f>
        <v>1937.8912798214601</v>
      </c>
      <c r="C86" s="109">
        <f ca="1">C$46/(Scenarios!D$68*COS(C$44))^1.5*(B86)/SQRT(0.5*rho*Scenarios!D$20*E86)</f>
        <v>1.1018124873756252</v>
      </c>
      <c r="D86" s="109">
        <f ca="1">MAX(0,B86*(A86*MeanWindAngle!E$2-C86))*(A86&gt;C$71)*(A86&gt;Scenarios!D$96)</f>
        <v>3255.1517083850622</v>
      </c>
      <c r="E86" s="109">
        <f ca="1">SQRT(B86^2+MeanWindAngle!C$5^2+2*MeanWindAngle!C$5*B86*MeanWindAngle!F$2)</f>
        <v>5489.1581109487743</v>
      </c>
      <c r="F86" s="15">
        <f t="shared" ca="1" si="2"/>
        <v>788.06819941360118</v>
      </c>
      <c r="G86" s="104">
        <f t="shared" ref="G86:G107" ca="1" si="23">D86/B86*(H86=1)*(H85=0)/(1+M86+0.0000001)+(H85=1)*G85+D86/B86*(H86=0)</f>
        <v>1.6797390763247373</v>
      </c>
      <c r="H86" s="104">
        <f t="shared" ca="1" si="11"/>
        <v>0</v>
      </c>
      <c r="I86" s="104">
        <f t="shared" ca="1" si="21"/>
        <v>0</v>
      </c>
      <c r="J86" s="104">
        <f ca="1">MAX(0,G86+MeanWindAngle!AL43)</f>
        <v>16.510529919410452</v>
      </c>
      <c r="K86" s="104">
        <f t="shared" ca="1" si="3"/>
        <v>-13.151051766760977</v>
      </c>
      <c r="L86" s="111">
        <f ca="1">MAX(0,MeanWindAngle!AM43)</f>
        <v>1671.1896617253328</v>
      </c>
      <c r="M86" s="109">
        <f ca="1">2*L85*AG85/Scenarios!D$23/1000-L84*AG84/Scenarios!D$23/1000-1</f>
        <v>-1</v>
      </c>
      <c r="N86" s="110">
        <f ca="1">MeanWindAngle!AG43</f>
        <v>17.367393388703476</v>
      </c>
      <c r="O86" s="110">
        <f t="shared" ca="1" si="12"/>
        <v>17.332407863901782</v>
      </c>
      <c r="P86" s="109">
        <f ca="1">Scenarios!D$95*PI()*SIN(Scenarios!D$84)*G86/O86</f>
        <v>6.3301165774728121E-2</v>
      </c>
      <c r="Q86" s="103">
        <f t="shared" ca="1" si="4"/>
        <v>778.70384541856276</v>
      </c>
      <c r="R86" s="110">
        <f t="shared" ca="1" si="13"/>
        <v>1.3317747649579006</v>
      </c>
      <c r="S86" s="103">
        <f ca="1">MIN(Scenarios!D$88,Scenarios!D$87*A86)*(Scenarios!D$86="Y")+Scenarios!D$88*(Scenarios!D$86&lt;&gt;"Y")</f>
        <v>30</v>
      </c>
      <c r="T86" s="103">
        <f ca="1">MAX(1,(C$39-C$38)*(1/S86+1/(-0.0000001+G86))+G86/Scenarios!D$94+S86/Scenarios!D$94)</f>
        <v>79.209959513122172</v>
      </c>
      <c r="U86" s="103">
        <f t="shared" ca="1" si="5"/>
        <v>73.510040636410636</v>
      </c>
      <c r="V86" s="103">
        <f t="shared" ca="1" si="6"/>
        <v>5.6999188767115356</v>
      </c>
      <c r="W86" s="104">
        <f t="shared" ca="1" si="14"/>
        <v>0.92804048683786977</v>
      </c>
      <c r="X86" s="104">
        <f t="shared" ca="1" si="15"/>
        <v>0</v>
      </c>
      <c r="Y86" s="104">
        <f ca="1">T86/(C$40*C$38/(G86+0.00001)+(T86-C$40*C$38/(G86+0.0001))/Scenarios!D$54)</f>
        <v>0.99995028155366761</v>
      </c>
      <c r="Z86" s="104">
        <f ca="1">MeanWindAngle!AN43</f>
        <v>0.51339839474161997</v>
      </c>
      <c r="AA86" s="104"/>
      <c r="AB86" s="1918">
        <f ca="1">Scenarios!$D$71+((2*9.81*Mp_t/rho/(S86+A86)^2/wing_area)-Scenarios!$D$69)^2/PI()/A/Scenarios!$D$70</f>
        <v>6.0247693259804676E-2</v>
      </c>
      <c r="AC86" s="1885">
        <f ca="1">MAX(0,(B86-AB86*0.5*rho*(S86+A86)^2*wing_area/Scenarios!D$54/C$30/C$31^2/(MeanWindAngle!AN43+0.0000001))/B86)</f>
        <v>0.50815093889823648</v>
      </c>
      <c r="AD86" s="111">
        <f t="shared" ca="1" si="7"/>
        <v>15.864863097429309</v>
      </c>
      <c r="AE86" s="111">
        <f ca="1">W86*Y86*Z86*Scenarios!D$55*AC86</f>
        <v>0.24209876221239951</v>
      </c>
      <c r="AF86" s="111">
        <f t="shared" ca="1" si="16"/>
        <v>7.5585095382968301</v>
      </c>
      <c r="AG86" s="1918">
        <f ca="1">W86*Y86*Scenarios!D$55*AC86</f>
        <v>0.4715611982663902</v>
      </c>
      <c r="AH86" s="104">
        <f t="shared" ca="1" si="8"/>
        <v>0.47158464472223999</v>
      </c>
      <c r="AI86" s="109">
        <f t="shared" ca="1" si="9"/>
        <v>2.3183813537436143E-4</v>
      </c>
      <c r="AJ86" s="1961">
        <f t="shared" ca="1" si="17"/>
        <v>788.06819941360129</v>
      </c>
      <c r="AK86" s="664">
        <f t="shared" ca="1" si="10"/>
        <v>788.10738288822154</v>
      </c>
      <c r="AL86" s="103">
        <f t="shared" ca="1" si="22"/>
        <v>0</v>
      </c>
      <c r="AM86" s="29">
        <f ca="1">$A86/Scenarios!$D$17^2*EXP(-0.5*($A86/Scenarios!$D$17)^2)</f>
        <v>3.9616836533432079E-2</v>
      </c>
      <c r="AN86" s="29"/>
      <c r="AO86" s="109"/>
      <c r="AP86" s="111">
        <f t="shared" ca="1" si="18"/>
        <v>31.220769033364796</v>
      </c>
      <c r="AQ86" s="103">
        <f t="shared" ca="1" si="19"/>
        <v>0</v>
      </c>
      <c r="AR86" s="103">
        <f t="shared" ca="1" si="20"/>
        <v>0</v>
      </c>
      <c r="AS86" s="1883"/>
      <c r="AT86" s="1884"/>
    </row>
    <row r="87" spans="1:46" x14ac:dyDescent="0.3">
      <c r="A87">
        <v>4</v>
      </c>
      <c r="B87" s="448">
        <f ca="1">MIN(C$45,4/18*(Scenarios!D$68*COS(C$44))^3/C$46^2*rho*Scenarios!D$20*(A87*MeanWindAngle!E$2)^2)</f>
        <v>3445.1400530159294</v>
      </c>
      <c r="C87" s="109">
        <f ca="1">C$46/(Scenarios!D$68*COS(C$44))^1.5*(B87)/SQRT(0.5*rho*Scenarios!D$20*E87)</f>
        <v>1.7892116486099412</v>
      </c>
      <c r="D87" s="109">
        <f ca="1">MAX(0,B87*(A87*MeanWindAngle!E$2-C87))*(A87&gt;C$71)*(A87&gt;Scenarios!D$96)</f>
        <v>6613.0282215621719</v>
      </c>
      <c r="E87" s="109">
        <f ca="1">SQRT(B87^2+MeanWindAngle!C$5^2+2*MeanWindAngle!C$5*B87*MeanWindAngle!F$2)</f>
        <v>6578.8901249509054</v>
      </c>
      <c r="F87" s="15">
        <f t="shared" ca="1" si="2"/>
        <v>2602.9420133614453</v>
      </c>
      <c r="G87" s="104">
        <f t="shared" ca="1" si="23"/>
        <v>1.9195237696572085</v>
      </c>
      <c r="H87" s="104">
        <f t="shared" ca="1" si="11"/>
        <v>0</v>
      </c>
      <c r="I87" s="104">
        <f t="shared" ca="1" si="21"/>
        <v>0</v>
      </c>
      <c r="J87" s="104">
        <f ca="1">MAX(0,G87+MeanWindAngle!AL44)</f>
        <v>15.50507535852331</v>
      </c>
      <c r="K87" s="104">
        <f t="shared" ca="1" si="3"/>
        <v>-11.666027819208892</v>
      </c>
      <c r="L87" s="111">
        <f ca="1">MAX(0,MeanWindAngle!AM44)</f>
        <v>3835.7561332064083</v>
      </c>
      <c r="M87" s="109">
        <f ca="1">2*L86*AG86/Scenarios!D$23/1000-L85*AG85/Scenarios!D$23/1000-1</f>
        <v>-0.98949242400781867</v>
      </c>
      <c r="N87" s="110">
        <f ca="1">MeanWindAngle!AG44</f>
        <v>18.854016602461559</v>
      </c>
      <c r="O87" s="110">
        <f t="shared" ca="1" si="12"/>
        <v>18.768928145271765</v>
      </c>
      <c r="P87" s="109">
        <f ca="1">Scenarios!D$95*PI()*SIN(Scenarios!D$84)*G87/O87</f>
        <v>6.6800975676036767E-2</v>
      </c>
      <c r="Q87" s="103">
        <f t="shared" ca="1" si="4"/>
        <v>784.19692896473009</v>
      </c>
      <c r="R87" s="110">
        <f t="shared" ca="1" si="13"/>
        <v>1.2572857121427357</v>
      </c>
      <c r="S87" s="103">
        <f ca="1">MIN(Scenarios!D$88,Scenarios!D$87*A87)*(Scenarios!D$86="Y")+Scenarios!D$88*(Scenarios!D$86&lt;&gt;"Y")</f>
        <v>30</v>
      </c>
      <c r="T87" s="103">
        <f ca="1">MAX(1,(C$39-C$38)*(1/S87+1/(-0.0000001+G87))+G87/Scenarios!D$94+S87/Scenarios!D$94)</f>
        <v>70.039157762598307</v>
      </c>
      <c r="U87" s="103">
        <f t="shared" ca="1" si="5"/>
        <v>64.32725170135717</v>
      </c>
      <c r="V87" s="103">
        <f t="shared" ca="1" si="6"/>
        <v>5.7119060612411374</v>
      </c>
      <c r="W87" s="104">
        <f t="shared" ca="1" si="14"/>
        <v>0.91844705817017736</v>
      </c>
      <c r="X87" s="104">
        <f t="shared" ca="1" si="15"/>
        <v>0</v>
      </c>
      <c r="Y87" s="104">
        <f ca="1">T87/(C$40*C$38/(G87+0.00001)+(T87-C$40*C$38/(G87+0.0001))/Scenarios!D$54)</f>
        <v>0.99995694143696467</v>
      </c>
      <c r="Z87" s="104">
        <f ca="1">MeanWindAngle!AN44</f>
        <v>0.58003020774955993</v>
      </c>
      <c r="AA87" s="104"/>
      <c r="AB87" s="1918">
        <f ca="1">Scenarios!$D$71+((2*9.81*Mp_t/rho/(S87+A87)^2/wing_area)-Scenarios!$D$69)^2/PI()/A/Scenarios!$D$70</f>
        <v>6.0517438465997123E-2</v>
      </c>
      <c r="AC87" s="1885">
        <f ca="1">MAX(0,(B87-AB87*0.5*rho*(S87+A87)^2*wing_area/Scenarios!D$54/C$30/C$31^2/(MeanWindAngle!AN44+0.0000001))/B87)</f>
        <v>0.73888708947909021</v>
      </c>
      <c r="AD87" s="111">
        <f t="shared" ca="1" si="7"/>
        <v>96.711090032133072</v>
      </c>
      <c r="AE87" s="111">
        <f ca="1">W87*Y87*Z87*Scenarios!D$55*AC87</f>
        <v>0.39360818163067834</v>
      </c>
      <c r="AF87" s="111">
        <f t="shared" ca="1" si="16"/>
        <v>51.518394126909364</v>
      </c>
      <c r="AG87" s="1918">
        <f ca="1">W87*Y87*Scenarios!D$55*AC87</f>
        <v>0.67859945287647294</v>
      </c>
      <c r="AH87" s="104">
        <f t="shared" ca="1" si="8"/>
        <v>0.67862867365199497</v>
      </c>
      <c r="AI87" s="109">
        <f t="shared" ca="1" si="9"/>
        <v>1.3986595945386371E-3</v>
      </c>
      <c r="AJ87" s="1961">
        <f ca="1">MIN(P*1000,L87*AG87)</f>
        <v>2602.942013361444</v>
      </c>
      <c r="AK87" s="664">
        <f t="shared" ca="1" si="10"/>
        <v>2603.0540971303699</v>
      </c>
      <c r="AL87" s="103">
        <f t="shared" ca="1" si="22"/>
        <v>0</v>
      </c>
      <c r="AM87" s="29">
        <f ca="1">$A87/Scenarios!$D$17^2*EXP(-0.5*($A87/Scenarios!$D$17)^2)</f>
        <v>5.0284450285304247E-2</v>
      </c>
      <c r="AN87" s="29"/>
      <c r="AO87" s="109"/>
      <c r="AP87" s="111">
        <f t="shared" ca="1" si="18"/>
        <v>162.10827729976808</v>
      </c>
      <c r="AQ87" s="103">
        <f t="shared" ca="1" si="19"/>
        <v>0</v>
      </c>
      <c r="AR87" s="103">
        <f t="shared" ca="1" si="20"/>
        <v>0</v>
      </c>
      <c r="AS87" s="1883"/>
      <c r="AT87" s="1884"/>
    </row>
    <row r="88" spans="1:46" x14ac:dyDescent="0.3">
      <c r="A88" s="105">
        <v>5</v>
      </c>
      <c r="B88" s="448">
        <f ca="1">MIN(C$45,4/18*(Scenarios!D$68*COS(C$44))^3/C$46^2*rho*Scenarios!D$20*(A88*MeanWindAngle!E$2)^2)</f>
        <v>5383.0313328373895</v>
      </c>
      <c r="C88" s="109">
        <f ca="1">C$46/(Scenarios!D$68*COS(C$44))^1.5*(B88)/SQRT(0.5*rho*Scenarios!D$20*E88)</f>
        <v>2.507586887780878</v>
      </c>
      <c r="D88" s="109">
        <f ca="1">MAX(0,B88*(A88*MeanWindAngle!E$2-C88))*(A88&gt;C$71)*(A88&gt;Scenarios!D$96)</f>
        <v>11456.879915433148</v>
      </c>
      <c r="E88" s="109">
        <f ca="1">SQRT(B88^2+MeanWindAngle!C$5^2+2*MeanWindAngle!C$5*B88*MeanWindAngle!F$2)</f>
        <v>8177.1909390991323</v>
      </c>
      <c r="F88" s="15">
        <f t="shared" ca="1" si="2"/>
        <v>5484.0649007200536</v>
      </c>
      <c r="G88" s="104">
        <f t="shared" ca="1" si="23"/>
        <v>2.1283323850530591</v>
      </c>
      <c r="H88" s="104">
        <f t="shared" ca="1" si="11"/>
        <v>0</v>
      </c>
      <c r="I88" s="104">
        <f t="shared" ca="1" si="21"/>
        <v>0</v>
      </c>
      <c r="J88" s="104">
        <f ca="1">MAX(0,G88+MeanWindAngle!AL45)</f>
        <v>14.151409063803857</v>
      </c>
      <c r="K88" s="104">
        <f t="shared" ca="1" si="3"/>
        <v>-9.8947442936977392</v>
      </c>
      <c r="L88" s="111">
        <f ca="1">MAX(0,MeanWindAngle!AM45)</f>
        <v>7208.489380986246</v>
      </c>
      <c r="M88" s="109">
        <f ca="1">2*L87*AG87/Scenarios!D$23/1000-L86*AG86/Scenarios!D$23/1000-1</f>
        <v>-0.97054789448460477</v>
      </c>
      <c r="N88" s="110">
        <f ca="1">MeanWindAngle!AG45</f>
        <v>21.173016553068887</v>
      </c>
      <c r="O88" s="110">
        <f t="shared" ca="1" si="12"/>
        <v>21.024001473476893</v>
      </c>
      <c r="P88" s="109">
        <f ca="1">Scenarios!D$95*PI()*SIN(Scenarios!D$84)*G88/O88</f>
        <v>6.6123047008552982E-2</v>
      </c>
      <c r="Q88" s="103">
        <f t="shared" ca="1" si="4"/>
        <v>783.12967919380355</v>
      </c>
      <c r="R88" s="110">
        <f t="shared" ca="1" si="13"/>
        <v>1.2710988022811427</v>
      </c>
      <c r="S88" s="103">
        <f ca="1">MIN(Scenarios!D$88,Scenarios!D$87*A88)*(Scenarios!D$86="Y")+Scenarios!D$88*(Scenarios!D$86&lt;&gt;"Y")</f>
        <v>30</v>
      </c>
      <c r="T88" s="103">
        <f ca="1">MAX(1,(C$39-C$38)*(1/S88+1/(-0.0000001+G88))+G88/Scenarios!D$94+S88/Scenarios!D$94)</f>
        <v>63.738513287202437</v>
      </c>
      <c r="U88" s="103">
        <f t="shared" ca="1" si="5"/>
        <v>58.016168045813622</v>
      </c>
      <c r="V88" s="103">
        <f t="shared" ca="1" si="6"/>
        <v>5.7223452413888154</v>
      </c>
      <c r="W88" s="104">
        <f t="shared" ca="1" si="14"/>
        <v>0.91022163062059236</v>
      </c>
      <c r="X88" s="104">
        <f t="shared" ca="1" si="15"/>
        <v>0</v>
      </c>
      <c r="Y88" s="104">
        <f ca="1">T88/(C$40*C$38/(G88+0.00001)+(T88-C$40*C$38/(G88+0.0001))/Scenarios!D$54)</f>
        <v>0.99996151326874849</v>
      </c>
      <c r="Z88" s="104">
        <f ca="1">MeanWindAngle!AN45</f>
        <v>0.62918433589200429</v>
      </c>
      <c r="AA88" s="104"/>
      <c r="AB88" s="1918">
        <f ca="1">Scenarios!$D$71+((2*9.81*Mp_t/rho/(S88+A88)^2/wing_area)-Scenarios!$D$69)^2/PI()/A/Scenarios!$D$70</f>
        <v>6.0850546339656933E-2</v>
      </c>
      <c r="AC88" s="1885">
        <f ca="1">MAX(0,(B88-AB88*0.5*rho*(S88+A88)^2*wing_area/Scenarios!D$54/C$30/C$31^2/(MeanWindAngle!AN45+0.0000001))/B88)</f>
        <v>0.83584911261327188</v>
      </c>
      <c r="AD88" s="111">
        <f t="shared" ca="1" si="7"/>
        <v>270.4452875451874</v>
      </c>
      <c r="AE88" s="111">
        <f ca="1">W88*Y88*Z88*Scenarios!D$55*AC88</f>
        <v>0.47867001672354692</v>
      </c>
      <c r="AF88" s="111">
        <f t="shared" ca="1" si="16"/>
        <v>154.87729586422941</v>
      </c>
      <c r="AG88" s="1918">
        <f ca="1">W88*Y88*Scenarios!D$55*AC88</f>
        <v>0.76077866122482063</v>
      </c>
      <c r="AH88" s="104">
        <f t="shared" ca="1" si="8"/>
        <v>0.76080794223562742</v>
      </c>
      <c r="AI88" s="109">
        <f t="shared" ca="1" si="9"/>
        <v>3.8762179954414163E-3</v>
      </c>
      <c r="AJ88" s="1961">
        <f t="shared" ca="1" si="17"/>
        <v>5484.0649007200518</v>
      </c>
      <c r="AK88" s="664">
        <f t="shared" ca="1" si="10"/>
        <v>5484.2759725755177</v>
      </c>
      <c r="AL88" s="103">
        <f t="shared" ca="1" si="22"/>
        <v>0</v>
      </c>
      <c r="AM88" s="29">
        <f ca="1">$A88/Scenarios!$D$17^2*EXP(-0.5*($A88/Scenarios!$D$17)^2)</f>
        <v>5.8999583642454743E-2</v>
      </c>
      <c r="AN88" s="29"/>
      <c r="AO88" s="109"/>
      <c r="AP88" s="111">
        <f t="shared" ca="1" si="18"/>
        <v>485.66582311045102</v>
      </c>
      <c r="AQ88" s="103">
        <f t="shared" ca="1" si="19"/>
        <v>0</v>
      </c>
      <c r="AR88" s="103">
        <f t="shared" ca="1" si="20"/>
        <v>0</v>
      </c>
      <c r="AS88" s="1883"/>
      <c r="AT88" s="1884"/>
    </row>
    <row r="89" spans="1:46" x14ac:dyDescent="0.3">
      <c r="A89">
        <v>6</v>
      </c>
      <c r="B89" s="448">
        <f ca="1">MIN(C$45,4/18*(Scenarios!D$68*COS(C$44))^3/C$46^2*rho*Scenarios!D$20*(A89*MeanWindAngle!E$2)^2)</f>
        <v>7751.5651192858404</v>
      </c>
      <c r="C89" s="109">
        <f ca="1">C$46/(Scenarios!D$68*COS(C$44))^1.5*(B89)/SQRT(0.5*rho*Scenarios!D$20*E89)</f>
        <v>3.2188794071999984</v>
      </c>
      <c r="D89" s="109">
        <f ca="1">MAX(0,B89*(A89*MeanWindAngle!E$2-C89))*(A89&gt;C$71)*(A89&gt;Scenarios!D$96)</f>
        <v>18171.402821310439</v>
      </c>
      <c r="E89" s="109">
        <f ca="1">SQRT(B89^2+MeanWindAngle!C$5^2+2*MeanWindAngle!C$5*B89*MeanWindAngle!F$2)</f>
        <v>10290.386584176387</v>
      </c>
      <c r="F89" s="15">
        <f ca="1">MIN(P*1000,D89*AE89)</f>
        <v>9787.2132326591363</v>
      </c>
      <c r="G89" s="104">
        <f t="shared" ca="1" si="23"/>
        <v>2.3442237202007261</v>
      </c>
      <c r="H89" s="104">
        <f t="shared" ca="1" si="11"/>
        <v>0</v>
      </c>
      <c r="I89" s="104">
        <f t="shared" ca="1" si="21"/>
        <v>0</v>
      </c>
      <c r="J89" s="104">
        <f ca="1">MAX(0,G89+MeanWindAngle!AL46)</f>
        <v>12.865561083949732</v>
      </c>
      <c r="K89" s="104">
        <f t="shared" ca="1" si="3"/>
        <v>-8.1771136435482799</v>
      </c>
      <c r="L89" s="111">
        <f ca="1">MAX(0,MeanWindAngle!AM46)</f>
        <v>12240.280882491686</v>
      </c>
      <c r="M89" s="109">
        <f ca="1">2*L88*AG88/Scenarios!D$23/1000-L87*AG87/Scenarios!D$23/1000-1</f>
        <v>-0.9442320814128089</v>
      </c>
      <c r="N89" s="110">
        <f ca="1">MeanWindAngle!AG46</f>
        <v>24.087473125293133</v>
      </c>
      <c r="O89" s="110">
        <f t="shared" ca="1" si="12"/>
        <v>23.871430139889455</v>
      </c>
      <c r="P89" s="109">
        <f ca="1">Scenarios!D$95*PI()*SIN(Scenarios!D$84)*G89/O89</f>
        <v>6.4143019553832462E-2</v>
      </c>
      <c r="Q89" s="103">
        <f t="shared" ca="1" si="4"/>
        <v>780.02141392893111</v>
      </c>
      <c r="R89" s="110">
        <f t="shared" ca="1" si="13"/>
        <v>1.3131144887720412</v>
      </c>
      <c r="S89" s="103">
        <f ca="1">MIN(Scenarios!D$88,Scenarios!D$87*A89)*(Scenarios!D$86="Y")+Scenarios!D$88*(Scenarios!D$86&lt;&gt;"Y")</f>
        <v>30</v>
      </c>
      <c r="T89" s="103">
        <f ca="1">MAX(1,(C$39-C$38)*(1/S89+1/(-0.0000001+G89))+G89/Scenarios!D$94+S89/Scenarios!D$94)</f>
        <v>58.406306849863974</v>
      </c>
      <c r="U89" s="103">
        <f t="shared" ca="1" si="5"/>
        <v>52.673167999644974</v>
      </c>
      <c r="V89" s="103">
        <f t="shared" ca="1" si="6"/>
        <v>5.7331388502189995</v>
      </c>
      <c r="W89" s="104">
        <f t="shared" ca="1" si="14"/>
        <v>0.90184049179676107</v>
      </c>
      <c r="X89" s="104">
        <f t="shared" ca="1" si="15"/>
        <v>0</v>
      </c>
      <c r="Y89" s="104">
        <f ca="1">T89/(C$40*C$38/(G89+0.00001)+(T89-C$40*C$38/(G89+0.0001))/Scenarios!D$54)</f>
        <v>0.99996537914800188</v>
      </c>
      <c r="Z89" s="104">
        <f ca="1">MeanWindAngle!AN46</f>
        <v>0.67360131756789554</v>
      </c>
      <c r="AA89" s="104"/>
      <c r="AB89" s="1918">
        <f ca="1">Scenarios!$D$71+((2*9.81*Mp_t/rho/(S89+A89)^2/wing_area)-Scenarios!$D$69)^2/PI()/A/Scenarios!$D$70</f>
        <v>6.1228762332050088E-2</v>
      </c>
      <c r="AC89" s="1885">
        <f ca="1">MAX(0,(B89-AB89*0.5*rho*(S89+A89)^2*wing_area/Scenarios!D$54/C$30/C$31^2/(MeanWindAngle!AN46+0.0000001))/B89)</f>
        <v>0.88665153764808435</v>
      </c>
      <c r="AD89" s="111">
        <f t="shared" ca="1" si="7"/>
        <v>568.64011294001318</v>
      </c>
      <c r="AE89" s="111">
        <f ca="1">W89*Y89*Z89*Scenarios!D$55*AC89</f>
        <v>0.53860526503662232</v>
      </c>
      <c r="AF89" s="111">
        <f t="shared" ca="1" si="16"/>
        <v>345.42607296765499</v>
      </c>
      <c r="AG89" s="1918">
        <f ca="1">W89*Y89*Scenarios!D$55*AC89</f>
        <v>0.79959057529951116</v>
      </c>
      <c r="AH89" s="104">
        <f t="shared" ca="1" si="8"/>
        <v>0.79961825876490278</v>
      </c>
      <c r="AI89" s="109">
        <f t="shared" ca="1" si="9"/>
        <v>8.0751174250393541E-3</v>
      </c>
      <c r="AJ89" s="1961">
        <f t="shared" ca="1" si="17"/>
        <v>9787.2132326591363</v>
      </c>
      <c r="AK89" s="664">
        <f t="shared" ca="1" si="10"/>
        <v>9787.5520860513298</v>
      </c>
      <c r="AL89" s="103">
        <f t="shared" ca="1" si="22"/>
        <v>0</v>
      </c>
      <c r="AM89" s="29">
        <f ca="1">$A89/Scenarios!$D$17^2*EXP(-0.5*($A89/Scenarios!$D$17)^2)</f>
        <v>6.5527782358787673E-2</v>
      </c>
      <c r="AN89" s="29"/>
      <c r="AO89" s="109"/>
      <c r="AP89" s="111">
        <f t="shared" ca="1" si="18"/>
        <v>1127.0002017191855</v>
      </c>
      <c r="AQ89" s="103">
        <f t="shared" ca="1" si="19"/>
        <v>0</v>
      </c>
      <c r="AR89" s="103">
        <f t="shared" ca="1" si="20"/>
        <v>0</v>
      </c>
      <c r="AS89" s="1883"/>
      <c r="AT89" s="1884"/>
    </row>
    <row r="90" spans="1:46" x14ac:dyDescent="0.3">
      <c r="A90" s="105">
        <v>7</v>
      </c>
      <c r="B90" s="448">
        <f ca="1">MIN(C$45,4/18*(Scenarios!D$68*COS(C$44))^3/C$46^2*rho*Scenarios!D$20*(A90*MeanWindAngle!E$2)^2)</f>
        <v>10550.741412361283</v>
      </c>
      <c r="C90" s="109">
        <f ca="1">C$46/(Scenarios!D$68*COS(C$44))^1.5*(B90)/SQRT(0.5*rho*Scenarios!D$20*E90)</f>
        <v>3.9126820289563415</v>
      </c>
      <c r="D90" s="109">
        <f ca="1">MAX(0,B90*(A90*MeanWindAngle!E$2-C90))*(A90&gt;C$71)*(A90&gt;Scenarios!D$96)</f>
        <v>27195.643322442516</v>
      </c>
      <c r="E90" s="109">
        <f ca="1">SQRT(B90^2+MeanWindAngle!C$5^2+2*MeanWindAngle!C$5*B90*MeanWindAngle!F$2)</f>
        <v>12902.656952313158</v>
      </c>
      <c r="F90" s="15">
        <f t="shared" ca="1" si="2"/>
        <v>15952.825316398405</v>
      </c>
      <c r="G90" s="104">
        <f ca="1">D90/B90*(H90=1)*(H89=0)/(1+M90+0.0000001)+(H89=1)*G89+D90/B90*(H90=0)</f>
        <v>2.5776049530111704</v>
      </c>
      <c r="H90" s="104">
        <f t="shared" ca="1" si="11"/>
        <v>0</v>
      </c>
      <c r="I90" s="104">
        <f t="shared" ca="1" si="21"/>
        <v>0</v>
      </c>
      <c r="J90" s="104">
        <f ca="1">MAX(0,G90+MeanWindAngle!AL47)</f>
        <v>11.818588120643181</v>
      </c>
      <c r="K90" s="104">
        <f t="shared" ca="1" si="3"/>
        <v>-6.66337821462084</v>
      </c>
      <c r="L90" s="111">
        <f ca="1">MAX(0,MeanWindAngle!AM47)</f>
        <v>19488.737980663675</v>
      </c>
      <c r="M90" s="109">
        <f ca="1">2*L89*AG89/Scenarios!D$23/1000-L88*AG88/Scenarios!D$23/1000-1</f>
        <v>-0.90606425623601183</v>
      </c>
      <c r="N90" s="110">
        <f ca="1">MeanWindAngle!AG47</f>
        <v>27.356374317996803</v>
      </c>
      <c r="O90" s="110">
        <f t="shared" ca="1" si="12"/>
        <v>27.075120224417049</v>
      </c>
      <c r="P90" s="109">
        <f ca="1">Scenarios!D$95*PI()*SIN(Scenarios!D$84)*G90/O90</f>
        <v>6.2183440458026512E-2</v>
      </c>
      <c r="Q90" s="103">
        <f t="shared" ca="1" si="4"/>
        <v>776.95817112818258</v>
      </c>
      <c r="R90" s="110">
        <f t="shared" ca="1" si="13"/>
        <v>1.3573306627916493</v>
      </c>
      <c r="S90" s="103">
        <f ca="1">MIN(Scenarios!D$88,Scenarios!D$87*A90)*(Scenarios!D$86="Y")+Scenarios!D$88*(Scenarios!D$86&lt;&gt;"Y")</f>
        <v>30</v>
      </c>
      <c r="T90" s="103">
        <f ca="1">MAX(1,(C$39-C$38)*(1/S90+1/(-0.0000001+G90))+G90/Scenarios!D$94+S90/Scenarios!D$94)</f>
        <v>53.648846959014826</v>
      </c>
      <c r="U90" s="103">
        <f t="shared" ca="1" si="5"/>
        <v>47.904039824082112</v>
      </c>
      <c r="V90" s="103">
        <f t="shared" ca="1" si="6"/>
        <v>5.7448071349327137</v>
      </c>
      <c r="W90" s="104">
        <f ca="1">MAX(0,(C$39-C$38)/(-0.0000001+G90)/T90)</f>
        <v>0.89291841775500991</v>
      </c>
      <c r="X90" s="104">
        <f t="shared" ca="1" si="15"/>
        <v>0</v>
      </c>
      <c r="Y90" s="104">
        <f ca="1">T90/(C$40*C$38/(G90+0.00001)+(T90-C$40*C$38/(G90+0.0001))/Scenarios!D$54)</f>
        <v>0.99996882504441698</v>
      </c>
      <c r="Z90" s="104">
        <f ca="1">MeanWindAngle!AN47</f>
        <v>0.71661250111267216</v>
      </c>
      <c r="AA90" s="104"/>
      <c r="AB90" s="1918">
        <f ca="1">Scenarios!$D$71+((2*9.81*Mp_t/rho/(S90+A90)^2/wing_area)-Scenarios!$D$69)^2/PI()/A/Scenarios!$D$70</f>
        <v>6.1638001822894389E-2</v>
      </c>
      <c r="AC90" s="1885">
        <f ca="1">MAX(0,(B90-AB90*0.5*rho*(S90+A90)^2*wing_area/Scenarios!D$54/C$30/C$31^2/(MeanWindAngle!AN47+0.0000001))/B90)</f>
        <v>0.91675999019134868</v>
      </c>
      <c r="AD90" s="111">
        <f t="shared" ca="1" si="7"/>
        <v>1020.3539478183397</v>
      </c>
      <c r="AE90" s="111">
        <f ca="1">W90*Y90*Z90*Scenarios!D$55*AC90</f>
        <v>0.58659488680798144</v>
      </c>
      <c r="AF90" s="111">
        <f t="shared" ca="1" si="16"/>
        <v>652.88015939662489</v>
      </c>
      <c r="AG90" s="1918">
        <f ca="1">W90*Y90*Scenarios!D$55*AC90</f>
        <v>0.81856636033726082</v>
      </c>
      <c r="AH90" s="104">
        <f t="shared" ca="1" si="8"/>
        <v>0.8185918799027575</v>
      </c>
      <c r="AI90" s="109">
        <f t="shared" ca="1" si="9"/>
        <v>1.4346443533713569E-2</v>
      </c>
      <c r="AJ90" s="1961">
        <f ca="1">MIN(P*1000,L90*AG90)</f>
        <v>15952.825316398403</v>
      </c>
      <c r="AK90" s="664">
        <f t="shared" ca="1" si="10"/>
        <v>15953.322660523747</v>
      </c>
      <c r="AL90" s="103">
        <f t="shared" ca="1" si="22"/>
        <v>0</v>
      </c>
      <c r="AM90" s="29">
        <f ca="1">$A90/Scenarios!$D$17^2*EXP(-0.5*($A90/Scenarios!$D$17)^2)</f>
        <v>6.9768211198319746E-2</v>
      </c>
      <c r="AN90" s="29"/>
      <c r="AO90" s="109"/>
      <c r="AP90" s="111">
        <f t="shared" ca="1" si="18"/>
        <v>2240.0002876035715</v>
      </c>
      <c r="AQ90" s="103">
        <f t="shared" ca="1" si="19"/>
        <v>0</v>
      </c>
      <c r="AR90" s="103">
        <f t="shared" ca="1" si="20"/>
        <v>0</v>
      </c>
      <c r="AS90" s="1883"/>
      <c r="AT90" s="1884"/>
    </row>
    <row r="91" spans="1:46" x14ac:dyDescent="0.3">
      <c r="A91">
        <v>8</v>
      </c>
      <c r="B91" s="448">
        <f ca="1">MIN(C$45,4/18*(Scenarios!D$68*COS(C$44))^3/C$46^2*rho*Scenarios!D$20*(A91*MeanWindAngle!E$2)^2)</f>
        <v>13780.560212063718</v>
      </c>
      <c r="C91" s="109">
        <f ca="1">C$46/(Scenarios!D$68*COS(C$44))^1.5*(B91)/SQRT(0.5*rho*Scenarios!D$20*E91)</f>
        <v>4.5898449225609577</v>
      </c>
      <c r="D91" s="109">
        <f ca="1">MAX(0,B91*(A91*MeanWindAngle!E$2-C91))*(A91&gt;C$71)*(A91&gt;Scenarios!D$96)</f>
        <v>38966.269164701334</v>
      </c>
      <c r="E91" s="109">
        <f ca="1">SQRT(B91^2+MeanWindAngle!C$5^2+2*MeanWindAngle!C$5*B91*MeanWindAngle!F$2)</f>
        <v>15995.581219773267</v>
      </c>
      <c r="F91" s="15">
        <f t="shared" ca="1" si="2"/>
        <v>24192.623078079559</v>
      </c>
      <c r="G91" s="104">
        <f ca="1">D91/B91*(H91=1)*(H90=0)/(1+M91+0.0000001)+(H90=1)*G90+D91/B91*(H91=0)</f>
        <v>2.8276259139733413</v>
      </c>
      <c r="H91" s="104">
        <f t="shared" ca="1" si="11"/>
        <v>0</v>
      </c>
      <c r="I91" s="104">
        <f t="shared" ca="1" si="21"/>
        <v>0</v>
      </c>
      <c r="J91" s="104">
        <f ca="1">MAX(0,G91+MeanWindAngle!AL48)</f>
        <v>11.021401177248954</v>
      </c>
      <c r="K91" s="104">
        <f t="shared" ca="1" si="3"/>
        <v>-5.3661493493022716</v>
      </c>
      <c r="L91" s="111">
        <f ca="1">MAX(0,MeanWindAngle!AM48)</f>
        <v>29273.155299637408</v>
      </c>
      <c r="M91" s="109">
        <f ca="1">2*L90*AG90/Scenarios!D$23/1000-L89*AG89/Scenarios!D$23/1000-1</f>
        <v>-0.85254375066574883</v>
      </c>
      <c r="N91" s="110">
        <f ca="1">MeanWindAngle!AG48</f>
        <v>30.82438941049783</v>
      </c>
      <c r="O91" s="110">
        <f t="shared" ca="1" si="12"/>
        <v>30.480753043795559</v>
      </c>
      <c r="P91" s="109">
        <f ca="1">Scenarios!D$95*PI()*SIN(Scenarios!D$84)*G91/O91</f>
        <v>6.0593361160877955E-2</v>
      </c>
      <c r="Q91" s="103">
        <f t="shared" ca="1" si="4"/>
        <v>774.48192810045123</v>
      </c>
      <c r="R91" s="110">
        <f t="shared" ca="1" si="13"/>
        <v>1.395311234948406</v>
      </c>
      <c r="S91" s="103">
        <f ca="1">MIN(Scenarios!D$88,Scenarios!D$87*A91)*(Scenarios!D$86="Y")+Scenarios!D$88*(Scenarios!D$86&lt;&gt;"Y")</f>
        <v>30</v>
      </c>
      <c r="T91" s="103">
        <f ca="1">MAX(1,(C$39-C$38)*(1/S91+1/(-0.0000001+G91))+G91/Scenarios!D$94+S91/Scenarios!D$94)</f>
        <v>49.425633740729161</v>
      </c>
      <c r="U91" s="103">
        <f t="shared" ca="1" si="5"/>
        <v>43.668326185998417</v>
      </c>
      <c r="V91" s="103">
        <f t="shared" ca="1" si="6"/>
        <v>5.757307554730744</v>
      </c>
      <c r="W91" s="104">
        <f t="shared" ca="1" si="14"/>
        <v>0.88351581901327358</v>
      </c>
      <c r="X91" s="104">
        <f t="shared" ca="1" si="15"/>
        <v>0</v>
      </c>
      <c r="Y91" s="104">
        <f ca="1">T91/(C$40*C$38/(G91+0.00001)+(T91-C$40*C$38/(G91+0.0001))/Scenarios!D$54)</f>
        <v>0.99997188061850351</v>
      </c>
      <c r="Z91" s="104">
        <f ca="1">MeanWindAngle!AN48</f>
        <v>0.75124347101095601</v>
      </c>
      <c r="AA91" s="104"/>
      <c r="AB91" s="1918">
        <f ca="1">Scenarios!$D$71+((2*9.81*Mp_t/rho/(S91+A91)^2/wing_area)-Scenarios!$D$69)^2/PI()/A/Scenarios!$D$70</f>
        <v>6.2067397205388786E-2</v>
      </c>
      <c r="AC91" s="1885">
        <f ca="1">MAX(0,(B91-AB91*0.5*rho*(S91+A91)^2*wing_area/Scenarios!D$54/C$30/C$31^2/(MeanWindAngle!AN48+0.0000001))/B91)</f>
        <v>0.93543002349421345</v>
      </c>
      <c r="AD91" s="111">
        <f t="shared" ca="1" si="7"/>
        <v>1623.7500508961737</v>
      </c>
      <c r="AE91" s="111">
        <f ca="1">W91*Y91*Z91*Scenarios!D$55*AC91</f>
        <v>0.6208606468282345</v>
      </c>
      <c r="AF91" s="111">
        <f t="shared" ca="1" si="16"/>
        <v>1077.71023119509</v>
      </c>
      <c r="AG91" s="1918">
        <f ca="1">W91*Y91*Scenarios!D$55*AC91</f>
        <v>0.82644398358994842</v>
      </c>
      <c r="AH91" s="104">
        <f t="shared" ca="1" si="8"/>
        <v>0.82646722333709577</v>
      </c>
      <c r="AI91" s="109">
        <f t="shared" ca="1" si="9"/>
        <v>2.2589942769408313E-2</v>
      </c>
      <c r="AJ91" s="1961">
        <f t="shared" ca="1" si="17"/>
        <v>24192.623078079549</v>
      </c>
      <c r="AK91" s="664">
        <f t="shared" ca="1" si="10"/>
        <v>24193.303378806919</v>
      </c>
      <c r="AL91" s="103">
        <f t="shared" ca="1" si="22"/>
        <v>0</v>
      </c>
      <c r="AM91" s="29">
        <f ca="1">$A91/Scenarios!$D$17^2*EXP(-0.5*($A91/Scenarios!$D$17)^2)</f>
        <v>7.175049699459278E-2</v>
      </c>
      <c r="AN91" s="29"/>
      <c r="AO91" s="109"/>
      <c r="AP91" s="111">
        <f t="shared" ca="1" si="18"/>
        <v>3975.8330170586341</v>
      </c>
      <c r="AQ91" s="103">
        <f t="shared" ca="1" si="19"/>
        <v>0</v>
      </c>
      <c r="AR91" s="103">
        <f t="shared" ca="1" si="20"/>
        <v>8.4611657288917712</v>
      </c>
      <c r="AS91" s="1883"/>
      <c r="AT91" s="1884"/>
    </row>
    <row r="92" spans="1:46" x14ac:dyDescent="0.3">
      <c r="A92" s="105">
        <v>9</v>
      </c>
      <c r="B92" s="448">
        <f ca="1">MIN(C$45,4/18*(Scenarios!D$68*COS(C$44))^3/C$46^2*rho*Scenarios!D$20*(A92*MeanWindAngle!E$2)^2)</f>
        <v>17441.021518393143</v>
      </c>
      <c r="C92" s="109">
        <f ca="1">C$46/(Scenarios!D$68*COS(C$44))^1.5*(B92)/SQRT(0.5*rho*Scenarios!D$20*E92)</f>
        <v>5.2538776108367058</v>
      </c>
      <c r="D92" s="109">
        <f ca="1">MAX(0,B92*(A92*MeanWindAngle!E$2-C92))*(A92&gt;C$71)*(A92&gt;Scenarios!D$96)</f>
        <v>53906.309565447416</v>
      </c>
      <c r="E92" s="109">
        <f ca="1">SQRT(B92^2+MeanWindAngle!C$5^2+2*MeanWindAngle!C$5*B92*MeanWindAngle!F$2)</f>
        <v>19554.478413468121</v>
      </c>
      <c r="F92" s="15">
        <f t="shared" ca="1" si="2"/>
        <v>34805.061917592677</v>
      </c>
      <c r="G92" s="104">
        <f ca="1">D92/B92*(H92=1)*(H91=0)/(1+M92+0.0000001)+(H91=1)*G91+D92/B92*(H92=0)</f>
        <v>3.0907770802643819</v>
      </c>
      <c r="H92" s="104">
        <f t="shared" ca="1" si="11"/>
        <v>0</v>
      </c>
      <c r="I92" s="104">
        <f t="shared" ca="1" si="21"/>
        <v>0</v>
      </c>
      <c r="J92" s="104">
        <f ca="1">MAX(0,G92+MeanWindAngle!AL49)</f>
        <v>10.433817450385526</v>
      </c>
      <c r="K92" s="104">
        <f t="shared" ca="1" si="3"/>
        <v>-4.2522632898567618</v>
      </c>
      <c r="L92" s="111">
        <f ca="1">MAX(0,MeanWindAngle!AM49)</f>
        <v>42025.059131835478</v>
      </c>
      <c r="M92" s="109">
        <f ca="1">2*L91*AG91/Scenarios!D$23/1000-L90*AG90/Scenarios!D$23/1000-1</f>
        <v>-0.78378386106826203</v>
      </c>
      <c r="N92" s="110">
        <f ca="1">MeanWindAngle!AG49</f>
        <v>34.405092398914618</v>
      </c>
      <c r="O92" s="110">
        <f t="shared" ca="1" si="12"/>
        <v>34.001575743312266</v>
      </c>
      <c r="P92" s="109">
        <f ca="1">Scenarios!D$95*PI()*SIN(Scenarios!D$84)*G92/O92</f>
        <v>5.9374152268381213E-2</v>
      </c>
      <c r="Q92" s="103">
        <f t="shared" ca="1" si="4"/>
        <v>772.58891511716536</v>
      </c>
      <c r="R92" s="110">
        <f t="shared" ca="1" si="13"/>
        <v>1.4258111174529009</v>
      </c>
      <c r="S92" s="103">
        <f ca="1">MIN(Scenarios!D$88,Scenarios!D$87*A92)*(Scenarios!D$86="Y")+Scenarios!D$88*(Scenarios!D$86&lt;&gt;"Y")</f>
        <v>30</v>
      </c>
      <c r="T92" s="103">
        <f ca="1">MAX(1,(C$39-C$38)*(1/S92+1/(-0.0000001+G92))+G92/Scenarios!D$94+S92/Scenarios!D$94)</f>
        <v>45.720835635470394</v>
      </c>
      <c r="U92" s="103">
        <f t="shared" ca="1" si="5"/>
        <v>39.950371025982605</v>
      </c>
      <c r="V92" s="103">
        <f t="shared" ca="1" si="6"/>
        <v>5.7704646094877887</v>
      </c>
      <c r="W92" s="104">
        <f t="shared" ca="1" si="14"/>
        <v>0.8737892266370445</v>
      </c>
      <c r="X92" s="104">
        <f t="shared" ca="1" si="15"/>
        <v>0</v>
      </c>
      <c r="Y92" s="104">
        <f ca="1">T92/(C$40*C$38/(G92+0.00001)+(T92-C$40*C$38/(G92+0.0001))/Scenarios!D$54)</f>
        <v>0.99997455778066291</v>
      </c>
      <c r="Z92" s="104">
        <f ca="1">MeanWindAngle!AN49</f>
        <v>0.77959443839896037</v>
      </c>
      <c r="AA92" s="104"/>
      <c r="AB92" s="1918">
        <f ca="1">Scenarios!$D$71+((2*9.81*Mp_t/rho/(S92+A92)^2/wing_area)-Scenarios!$D$69)^2/PI()/A/Scenarios!$D$70</f>
        <v>6.2508572826601855E-2</v>
      </c>
      <c r="AC92" s="1885">
        <f ca="1">MAX(0,(B92-AB92*0.5*rho*(S92+A92)^2*wing_area/Scenarios!D$54/C$30/C$31^2/(MeanWindAngle!AN49+0.0000001))/B92)</f>
        <v>0.94784743962324602</v>
      </c>
      <c r="AD92" s="111">
        <f t="shared" ca="1" si="7"/>
        <v>2362.7823447888481</v>
      </c>
      <c r="AE92" s="111">
        <f ca="1">W92*Y92*Z92*Scenarios!D$55*AC92</f>
        <v>0.6456584061896502</v>
      </c>
      <c r="AF92" s="111">
        <f t="shared" ca="1" si="16"/>
        <v>1609.4892691969435</v>
      </c>
      <c r="AG92" s="1918">
        <f ca="1">W92*Y92*Scenarios!D$55*AC92</f>
        <v>0.82819780951186328</v>
      </c>
      <c r="AH92" s="104">
        <f t="shared" ca="1" si="8"/>
        <v>0.8282188812382989</v>
      </c>
      <c r="AI92" s="109">
        <f t="shared" ca="1" si="9"/>
        <v>3.2509629947655168E-2</v>
      </c>
      <c r="AJ92" s="1961">
        <f ca="1">MIN(P*1000,L92*AG92)</f>
        <v>34805.061917592669</v>
      </c>
      <c r="AK92" s="664">
        <f t="shared" ca="1" si="10"/>
        <v>34805.947458142138</v>
      </c>
      <c r="AL92" s="103">
        <f t="shared" ca="1" si="22"/>
        <v>0</v>
      </c>
      <c r="AM92" s="29">
        <f ca="1">$A92/Scenarios!$D$17^2*EXP(-0.5*($A92/Scenarios!$D$17)^2)</f>
        <v>7.1621409740331723E-2</v>
      </c>
      <c r="AN92" s="29"/>
      <c r="AO92" s="109"/>
      <c r="AP92" s="111">
        <f t="shared" ca="1" si="18"/>
        <v>6468.620617696155</v>
      </c>
      <c r="AQ92" s="103">
        <f t="shared" ca="1" si="19"/>
        <v>0</v>
      </c>
      <c r="AR92" s="103">
        <f t="shared" ca="1" si="20"/>
        <v>0</v>
      </c>
      <c r="AS92" s="1883"/>
      <c r="AT92" s="1884"/>
    </row>
    <row r="93" spans="1:46" x14ac:dyDescent="0.3">
      <c r="A93">
        <v>10</v>
      </c>
      <c r="B93" s="448">
        <f ca="1">MIN(C$45,4/18*(Scenarios!D$68*COS(C$44))^3/C$46^2*rho*Scenarios!D$20*(A93*MeanWindAngle!E$2)^2)</f>
        <v>21532.125331349558</v>
      </c>
      <c r="C93" s="109">
        <f ca="1">C$46/(Scenarios!D$68*COS(C$44))^1.5*(B93)/SQRT(0.5*rho*Scenarios!D$20*E93)</f>
        <v>5.908105887823754</v>
      </c>
      <c r="D93" s="109">
        <f ca="1">MAX(0,B93*(A93*MeanWindAngle!E$2-C93))*(A93&gt;C$71)*(A93&gt;Scenarios!D$96)</f>
        <v>72428.313169853151</v>
      </c>
      <c r="E93" s="109">
        <f ca="1">SQRT(B93^2+MeanWindAngle!C$5^2+2*MeanWindAngle!C$5*B93*MeanWindAngle!F$2)</f>
        <v>23568.913428848828</v>
      </c>
      <c r="F93" s="15">
        <f t="shared" ca="1" si="2"/>
        <v>48349.546721198189</v>
      </c>
      <c r="G93" s="104">
        <f t="shared" ca="1" si="23"/>
        <v>3.3637326578441198</v>
      </c>
      <c r="H93" s="104">
        <f t="shared" ca="1" si="11"/>
        <v>0</v>
      </c>
      <c r="I93" s="104">
        <f t="shared" ca="1" si="21"/>
        <v>0</v>
      </c>
      <c r="J93" s="104">
        <f ca="1">MAX(0,G93+MeanWindAngle!AL50)</f>
        <v>10.010950133643872</v>
      </c>
      <c r="K93" s="104">
        <f t="shared" ca="1" si="3"/>
        <v>-3.2834848179556326</v>
      </c>
      <c r="L93" s="111">
        <f ca="1">MAX(0,MeanWindAngle!AM50)</f>
        <v>58496.291822137522</v>
      </c>
      <c r="M93" s="109">
        <f ca="1">2*L92*AG92/Scenarios!D$23/1000-L91*AG91/Scenarios!D$23/1000-1</f>
        <v>-0.69721666161929474</v>
      </c>
      <c r="N93" s="110">
        <f ca="1">MeanWindAngle!AG50</f>
        <v>38.051678664726197</v>
      </c>
      <c r="O93" s="110">
        <f t="shared" ca="1" si="12"/>
        <v>37.590218595026037</v>
      </c>
      <c r="P93" s="109">
        <f ca="1">Scenarios!D$95*PI()*SIN(Scenarios!D$84)*G93/O93</f>
        <v>5.8448773658477678E-2</v>
      </c>
      <c r="Q93" s="103">
        <f ca="1">C$38*(1+P93)/(1-P93)</f>
        <v>771.1553923352817</v>
      </c>
      <c r="R93" s="110">
        <f t="shared" ca="1" si="13"/>
        <v>1.449809896190057</v>
      </c>
      <c r="S93" s="103">
        <f ca="1">MIN(Scenarios!D$88,Scenarios!D$87*A93)*(Scenarios!D$86="Y")+Scenarios!D$88*(Scenarios!D$86&lt;&gt;"Y")</f>
        <v>30</v>
      </c>
      <c r="T93" s="103">
        <f ca="1">MAX(1,(C$39-C$38)*(1/S93+1/(-0.0000001+G93))+G93/Scenarios!D$94+S93/Scenarios!D$94)</f>
        <v>42.492645035100296</v>
      </c>
      <c r="U93" s="103">
        <f t="shared" ca="1" si="5"/>
        <v>36.7085330492609</v>
      </c>
      <c r="V93" s="103">
        <f t="shared" ca="1" si="6"/>
        <v>5.7841119858393952</v>
      </c>
      <c r="W93" s="104">
        <f ca="1">MAX(0,(C$39-C$38)/(-0.0000001+G93)/T93)</f>
        <v>0.86387974204819629</v>
      </c>
      <c r="X93" s="104">
        <f t="shared" ca="1" si="15"/>
        <v>0</v>
      </c>
      <c r="Y93" s="104">
        <f ca="1">T93/(C$40*C$38/(G93+0.00001)+(T93-C$40*C$38/(G93+0.0001))/Scenarios!D$54)</f>
        <v>0.99997688733232082</v>
      </c>
      <c r="Z93" s="104">
        <f ca="1">MeanWindAngle!AN50</f>
        <v>0.80764398978831209</v>
      </c>
      <c r="AA93" s="104"/>
      <c r="AB93" s="1918">
        <f ca="1">Scenarios!$D$71+((2*9.81*Mp_t/rho/(S93+A93)^2/wing_area)-Scenarios!$D$69)^2/PI()/A/Scenarios!$D$70</f>
        <v>6.2955090167796074E-2</v>
      </c>
      <c r="AC93" s="1885">
        <f ca="1">MAX(0,(B93-AB93*0.5*rho*(S93+A93)^2*wing_area/Scenarios!D$54/C$30/C$31^2/(MeanWindAngle!AN50+0.0000001))/B93)</f>
        <v>0.95679923299436409</v>
      </c>
      <c r="AD93" s="111">
        <f t="shared" ca="1" si="7"/>
        <v>3220.8393278116782</v>
      </c>
      <c r="AE93" s="111">
        <f ca="1">W93*Y93*Z93*Scenarios!D$55*AC93</f>
        <v>0.66755036262977241</v>
      </c>
      <c r="AF93" s="111">
        <f t="shared" ca="1" si="16"/>
        <v>2247.1511129081173</v>
      </c>
      <c r="AG93" s="1918">
        <f ca="1">W93*Y93*Scenarios!D$55*AC93</f>
        <v>0.82654037059662999</v>
      </c>
      <c r="AH93" s="104">
        <f t="shared" ca="1" si="8"/>
        <v>0.82655947459108325</v>
      </c>
      <c r="AI93" s="109">
        <f t="shared" ca="1" si="9"/>
        <v>4.381309907089187E-2</v>
      </c>
      <c r="AJ93" s="1961">
        <f ca="1">MIN(P*1000,L93*AG93)</f>
        <v>48349.546721198167</v>
      </c>
      <c r="AK93" s="664">
        <f t="shared" ca="1" si="10"/>
        <v>48350.664234032673</v>
      </c>
      <c r="AL93" s="103">
        <f t="shared" ca="1" si="22"/>
        <v>0</v>
      </c>
      <c r="AM93" s="29">
        <f ca="1">$A93/Scenarios!$D$17^2*EXP(-0.5*($A93/Scenarios!$D$17)^2)</f>
        <v>6.962349734526263E-2</v>
      </c>
      <c r="AN93" s="29"/>
      <c r="AO93" s="109"/>
      <c r="AP93" s="111">
        <f t="shared" ca="1" si="18"/>
        <v>9834.8851554841476</v>
      </c>
      <c r="AQ93" s="103">
        <f t="shared" ca="1" si="19"/>
        <v>0</v>
      </c>
      <c r="AR93" s="103">
        <f t="shared" ca="1" si="20"/>
        <v>0</v>
      </c>
      <c r="AS93" s="1883"/>
      <c r="AT93" s="1884"/>
    </row>
    <row r="94" spans="1:46" x14ac:dyDescent="0.3">
      <c r="A94" s="105">
        <v>11</v>
      </c>
      <c r="B94" s="448">
        <f ca="1">MIN(C$45,4/18*(Scenarios!D$68*COS(C$44))^3/C$46^2*rho*Scenarios!D$20*(A94*MeanWindAngle!E$2)^2)</f>
        <v>26053.871650932961</v>
      </c>
      <c r="C94" s="109">
        <f ca="1">C$46/(Scenarios!D$68*COS(C$44))^1.5*(B94)/SQRT(0.5*rho*Scenarios!D$20*E94)</f>
        <v>6.5550877553942035</v>
      </c>
      <c r="D94" s="109">
        <f ca="1">MAX(0,B94*(A94*MeanWindAngle!E$2-C94))*(A94&gt;C$71)*(A94&gt;Scenarios!D$96)</f>
        <v>94938.605541061261</v>
      </c>
      <c r="E94" s="109">
        <f ca="1">SQRT(B94^2+MeanWindAngle!C$5^2+2*MeanWindAngle!C$5*B94*MeanWindAngle!F$2)</f>
        <v>28031.724890648442</v>
      </c>
      <c r="F94" s="15">
        <f t="shared" ca="1" si="2"/>
        <v>65095.440204785133</v>
      </c>
      <c r="G94" s="104">
        <f ca="1">D94/B94*(H94=1)*(H93=0)/(1+M94+0.0000001)+(H93=1)*G93+D94/B94*(H94=0)</f>
        <v>3.6439346448404573</v>
      </c>
      <c r="H94" s="104">
        <f t="shared" ca="1" si="11"/>
        <v>0</v>
      </c>
      <c r="I94" s="104">
        <f t="shared" ca="1" si="21"/>
        <v>0</v>
      </c>
      <c r="J94" s="104">
        <f ca="1">MAX(0,G94+MeanWindAngle!AL51)</f>
        <v>9.7155708835996748</v>
      </c>
      <c r="K94" s="104">
        <f t="shared" ca="1" si="3"/>
        <v>-2.4277015939187603</v>
      </c>
      <c r="L94" s="111">
        <f ca="1">MAX(0,MeanWindAngle!AM51)</f>
        <v>79131.97346119213</v>
      </c>
      <c r="M94" s="109">
        <f ca="1">2*L93*AG93/Scenarios!D$23/1000-L92*AG92/Scenarios!D$23/1000-1</f>
        <v>-0.58737312316797563</v>
      </c>
      <c r="N94" s="110">
        <f ca="1">MeanWindAngle!AG51</f>
        <v>41.738312706859283</v>
      </c>
      <c r="O94" s="110">
        <f t="shared" ca="1" si="12"/>
        <v>41.22035385746527</v>
      </c>
      <c r="P94" s="109">
        <f ca="1">Scenarios!D$95*PI()*SIN(Scenarios!D$84)*G94/O94</f>
        <v>5.7741444787612478E-2</v>
      </c>
      <c r="Q94" s="103">
        <f t="shared" ca="1" si="4"/>
        <v>770.06155347828417</v>
      </c>
      <c r="R94" s="110">
        <f t="shared" ca="1" si="13"/>
        <v>1.4686724653653811</v>
      </c>
      <c r="S94" s="103">
        <f ca="1">MIN(Scenarios!D$88,Scenarios!D$87*A94)*(Scenarios!D$86="Y")+Scenarios!D$88*(Scenarios!D$86&lt;&gt;"Y")</f>
        <v>30</v>
      </c>
      <c r="T94" s="103">
        <f ca="1">MAX(1,(C$39-C$38)*(1/S94+1/(-0.0000001+G94))+G94/Scenarios!D$94+S94/Scenarios!D$94)</f>
        <v>39.683935794922348</v>
      </c>
      <c r="U94" s="103">
        <f t="shared" ca="1" si="5"/>
        <v>33.885814032492675</v>
      </c>
      <c r="V94" s="103">
        <f t="shared" ca="1" si="6"/>
        <v>5.7981217624296733</v>
      </c>
      <c r="W94" s="104">
        <f t="shared" ca="1" si="14"/>
        <v>0.85389251881301576</v>
      </c>
      <c r="X94" s="104">
        <f t="shared" ca="1" si="15"/>
        <v>0</v>
      </c>
      <c r="Y94" s="104">
        <f ca="1">T94/(C$40*C$38/(G94+0.00001)+(T94-C$40*C$38/(G94+0.0001))/Scenarios!D$54)</f>
        <v>0.99997891115192505</v>
      </c>
      <c r="Z94" s="104">
        <f ca="1">MeanWindAngle!AN51</f>
        <v>0.83350680168740499</v>
      </c>
      <c r="AA94" s="104"/>
      <c r="AB94" s="1918">
        <f ca="1">Scenarios!$D$71+((2*9.81*Mp_t/rho/(S94+A94)^2/wing_area)-Scenarios!$D$69)^2/PI()/A/Scenarios!$D$70</f>
        <v>6.3402021068306794E-2</v>
      </c>
      <c r="AC94" s="1885">
        <f ca="1">MAX(0,(B94-AB94*0.5*rho*(S94+A94)^2*wing_area/Scenarios!D$54/C$30/C$31^2/(MeanWindAngle!AN51+0.0000001))/B94)</f>
        <v>0.96339529687929515</v>
      </c>
      <c r="AD94" s="111">
        <f t="shared" ca="1" si="7"/>
        <v>4143.3263337659446</v>
      </c>
      <c r="AE94" s="111">
        <f ca="1">W94*Y94*Z94*Scenarios!D$55*AC94</f>
        <v>0.68565827182527073</v>
      </c>
      <c r="AF94" s="111">
        <f t="shared" ca="1" si="16"/>
        <v>2948.8476670174496</v>
      </c>
      <c r="AG94" s="1918">
        <f ca="1">W94*Y94*Scenarios!D$55*AC94</f>
        <v>0.82261868821847628</v>
      </c>
      <c r="AH94" s="104">
        <f t="shared" ca="1" si="8"/>
        <v>0.82263603666487439</v>
      </c>
      <c r="AI94" s="109">
        <f t="shared" ca="1" si="9"/>
        <v>5.5710104360749912E-2</v>
      </c>
      <c r="AJ94" s="1961">
        <f ca="1">MIN(P*1000,L94*AG94)</f>
        <v>65095.440204785147</v>
      </c>
      <c r="AK94" s="664">
        <f t="shared" ca="1" si="10"/>
        <v>65096.81302158512</v>
      </c>
      <c r="AL94" s="103">
        <f t="shared" ca="1" si="22"/>
        <v>0</v>
      </c>
      <c r="AM94" s="29">
        <f ca="1">$A94/Scenarios!$D$17^2*EXP(-0.5*($A94/Scenarios!$D$17)^2)</f>
        <v>6.6068439656780442E-2</v>
      </c>
      <c r="AN94" s="29"/>
      <c r="AO94" s="109"/>
      <c r="AP94" s="111">
        <f t="shared" ca="1" si="18"/>
        <v>14135.639318585556</v>
      </c>
      <c r="AQ94" s="103">
        <f t="shared" ca="1" si="19"/>
        <v>0</v>
      </c>
      <c r="AR94" s="103">
        <f t="shared" ca="1" si="20"/>
        <v>0</v>
      </c>
      <c r="AS94" s="1883"/>
      <c r="AT94" s="1884"/>
    </row>
    <row r="95" spans="1:46" x14ac:dyDescent="0.3">
      <c r="A95">
        <v>12</v>
      </c>
      <c r="B95" s="448">
        <f ca="1">MIN(C$45,4/18*(Scenarios!D$68*COS(C$44))^3/C$46^2*rho*Scenarios!D$20*(A95*MeanWindAngle!E$2)^2)</f>
        <v>31006.260477143362</v>
      </c>
      <c r="C95" s="109">
        <f ca="1">C$46/(Scenarios!D$68*COS(C$44))^1.5*(B95)/SQRT(0.5*rho*Scenarios!D$20*E95)</f>
        <v>7.1966738714683558</v>
      </c>
      <c r="D95" s="109">
        <f ca="1">MAX(0,B95*(A95*MeanWindAngle!E$2-C95))*(A95&gt;C$71)*(A95&gt;Scenarios!D$96)</f>
        <v>121840.10463099585</v>
      </c>
      <c r="E95" s="109">
        <f ca="1">SQRT(B95^2+MeanWindAngle!C$5^2+2*MeanWindAngle!C$5*B95*MeanWindAngle!F$2)</f>
        <v>32938.016385697214</v>
      </c>
      <c r="F95" s="15">
        <f ca="1">MIN(P*1000,D95*AE95)</f>
        <v>84604.615140985305</v>
      </c>
      <c r="G95" s="104">
        <f ca="1">D95/B95*(H95=1)*(H94=0)/(1+M95+0.0000001)+(H94=1)*G94+D95/B95*(H95=0)</f>
        <v>3.9295323833330933</v>
      </c>
      <c r="H95" s="104">
        <f t="shared" ca="1" si="11"/>
        <v>0</v>
      </c>
      <c r="I95" s="104">
        <f t="shared" ca="1" si="21"/>
        <v>0</v>
      </c>
      <c r="J95" s="104">
        <f ca="1">MAX(0,G95+MeanWindAngle!AL52)</f>
        <v>9.5192241736188663</v>
      </c>
      <c r="K95" s="104">
        <f t="shared" ca="1" si="3"/>
        <v>-1.6601594069526797</v>
      </c>
      <c r="L95" s="111">
        <f ca="1">MAX(0,MeanWindAngle!AM52)</f>
        <v>103556.89484342601</v>
      </c>
      <c r="M95" s="109">
        <f ca="1">2*L94*AG94/Scenarios!D$23/1000-L93*AG93/Scenarios!D$23/1000-1</f>
        <v>-0.45439110874418576</v>
      </c>
      <c r="N95" s="110">
        <f ca="1">MeanWindAngle!AG52</f>
        <v>45.450234444604746</v>
      </c>
      <c r="O95" s="110">
        <f t="shared" ca="1" si="12"/>
        <v>44.876850337977828</v>
      </c>
      <c r="P95" s="109">
        <f ca="1">Scenarios!D$95*PI()*SIN(Scenarios!D$84)*G95/O95</f>
        <v>5.7193580626467157E-2</v>
      </c>
      <c r="Q95" s="103">
        <f t="shared" ca="1" si="4"/>
        <v>769.21544455304718</v>
      </c>
      <c r="R95" s="110">
        <f t="shared" ca="1" si="13"/>
        <v>1.4836031756735775</v>
      </c>
      <c r="S95" s="103">
        <f ca="1">MIN(Scenarios!D$88,Scenarios!D$87*A95)*(Scenarios!D$86="Y")+Scenarios!D$88*(Scenarios!D$86&lt;&gt;"Y")</f>
        <v>30</v>
      </c>
      <c r="T95" s="103">
        <f ca="1">MAX(1,(C$39-C$38)*(1/S95+1/(-0.0000001+G95))+G95/Scenarios!D$94+S95/Scenarios!D$94)</f>
        <v>37.235400341996545</v>
      </c>
      <c r="U95" s="103">
        <f t="shared" ca="1" si="5"/>
        <v>31.422998953164676</v>
      </c>
      <c r="V95" s="103">
        <f t="shared" ca="1" si="6"/>
        <v>5.8124013888318693</v>
      </c>
      <c r="W95" s="104">
        <f t="shared" ca="1" si="14"/>
        <v>0.84390124085892748</v>
      </c>
      <c r="X95" s="104">
        <f t="shared" ca="1" si="15"/>
        <v>0</v>
      </c>
      <c r="Y95" s="104">
        <f ca="1">T95/(C$40*C$38/(G95+0.00001)+(T95-C$40*C$38/(G95+0.0001))/Scenarios!D$54)</f>
        <v>0.99998067263267354</v>
      </c>
      <c r="Z95" s="104">
        <f ca="1">MeanWindAngle!AN52</f>
        <v>0.84994095463934272</v>
      </c>
      <c r="AA95" s="104"/>
      <c r="AB95" s="1918">
        <f ca="1">Scenarios!$D$71+((2*9.81*Mp_t/rho/(S95+A95)^2/wing_area)-Scenarios!$D$69)^2/PI()/A/Scenarios!$D$70</f>
        <v>6.3845617858558482E-2</v>
      </c>
      <c r="AC95" s="1885">
        <f ca="1">MAX(0,(B95-AB95*0.5*rho*(S95+A95)^2*wing_area/Scenarios!D$54/C$30/C$31^2/(MeanWindAngle!AN52+0.0000001))/B95)</f>
        <v>0.968125820111845</v>
      </c>
      <c r="AD95" s="111">
        <f t="shared" ca="1" si="7"/>
        <v>5021.6223511206981</v>
      </c>
      <c r="AE95" s="111">
        <f ca="1">W95*Y95*Z95*Scenarios!D$55*AC95</f>
        <v>0.6943905325526295</v>
      </c>
      <c r="AF95" s="111">
        <f t="shared" ca="1" si="16"/>
        <v>3601.7704994894661</v>
      </c>
      <c r="AG95" s="1918">
        <f ca="1">W95*Y95*Scenarios!D$55*AC95</f>
        <v>0.81698679039096511</v>
      </c>
      <c r="AH95" s="104">
        <f t="shared" ca="1" si="8"/>
        <v>0.81700258089995281</v>
      </c>
      <c r="AI95" s="109">
        <f t="shared" ca="1" si="9"/>
        <v>6.6729411896668589E-2</v>
      </c>
      <c r="AJ95" s="1961">
        <f ca="1">MIN(P*1000,L95*AG95)</f>
        <v>84604.615140985305</v>
      </c>
      <c r="AK95" s="664">
        <f t="shared" ca="1" si="10"/>
        <v>84606.250357064069</v>
      </c>
      <c r="AL95" s="103">
        <f t="shared" ca="1" si="22"/>
        <v>0</v>
      </c>
      <c r="AM95" s="29">
        <f ca="1">$A95/Scenarios!$D$17^2*EXP(-0.5*($A95/Scenarios!$D$17)^2)</f>
        <v>6.130814719652828E-2</v>
      </c>
      <c r="AN95" s="29"/>
      <c r="AO95" s="109"/>
      <c r="AP95" s="111">
        <f t="shared" ca="1" si="18"/>
        <v>19322.591517154709</v>
      </c>
      <c r="AQ95" s="103">
        <f t="shared" ca="1" si="19"/>
        <v>0</v>
      </c>
      <c r="AR95" s="103">
        <f t="shared" ca="1" si="20"/>
        <v>0</v>
      </c>
      <c r="AS95" s="1883"/>
      <c r="AT95" s="1884"/>
    </row>
    <row r="96" spans="1:46" x14ac:dyDescent="0.3">
      <c r="A96" s="105">
        <v>13</v>
      </c>
      <c r="B96" s="448">
        <f ca="1">MIN(C$45,4/18*(Scenarios!D$68*COS(C$44))^3/C$46^2*rho*Scenarios!D$20*(A96*MeanWindAngle!E$2)^2)</f>
        <v>34020.000000000007</v>
      </c>
      <c r="C96" s="109">
        <f ca="1">C$46/(Scenarios!D$68*COS(C$44))^1.5*(B96)/SQRT(0.5*rho*Scenarios!D$20*E96)</f>
        <v>7.5602731744469969</v>
      </c>
      <c r="D96" s="109">
        <f ca="1">MAX(0,B96*(A96*MeanWindAngle!E$2-C96))*(A96&gt;C$71)*(A96&gt;Scenarios!D$96)</f>
        <v>152855.83812602062</v>
      </c>
      <c r="E96" s="109">
        <f ca="1">SQRT(B96^2+MeanWindAngle!C$5^2+2*MeanWindAngle!C$5*B96*MeanWindAngle!F$2)</f>
        <v>35929.894844452967</v>
      </c>
      <c r="F96" s="15">
        <f ca="1">MIN(P*1000,D96*AE96)</f>
        <v>106704.84908644632</v>
      </c>
      <c r="G96" s="104">
        <f t="shared" ca="1" si="23"/>
        <v>4.4931169349212405</v>
      </c>
      <c r="H96" s="104">
        <f t="shared" ca="1" si="11"/>
        <v>0</v>
      </c>
      <c r="I96" s="104">
        <f t="shared" ca="1" si="21"/>
        <v>0</v>
      </c>
      <c r="J96" s="104">
        <f ca="1">MAX(0,G96+MeanWindAngle!AL53)</f>
        <v>9.8422595217853477</v>
      </c>
      <c r="K96" s="104">
        <f t="shared" ca="1" si="3"/>
        <v>-0.85602565194286662</v>
      </c>
      <c r="L96" s="111">
        <f ca="1">MAX(0,MeanWindAngle!AM53)</f>
        <v>133367.86776624215</v>
      </c>
      <c r="M96" s="109">
        <f ca="1">2*L95*AG95/Scenarios!D$23/1000-L94*AG94/Scenarios!D$23/1000-1</f>
        <v>-0.30590806615209698</v>
      </c>
      <c r="N96" s="110">
        <f ca="1">MeanWindAngle!AG53</f>
        <v>47.572580166099975</v>
      </c>
      <c r="O96" s="110">
        <f t="shared" ca="1" si="12"/>
        <v>46.967996052500958</v>
      </c>
      <c r="P96" s="109">
        <f ca="1">Scenarios!D$95*PI()*SIN(Scenarios!D$84)*G96/O96</f>
        <v>6.2484812866533047E-2</v>
      </c>
      <c r="Q96" s="103">
        <f t="shared" ca="1" si="4"/>
        <v>777.42844763630887</v>
      </c>
      <c r="R96" s="110">
        <f t="shared" ca="1" si="13"/>
        <v>1.3503499980789408</v>
      </c>
      <c r="S96" s="103">
        <f ca="1">MIN(Scenarios!D$88,Scenarios!D$87*A96)*(Scenarios!D$86="Y")+Scenarios!D$88*(Scenarios!D$86&lt;&gt;"Y")</f>
        <v>30</v>
      </c>
      <c r="T96" s="103">
        <f ca="1">MAX(1,(C$39-C$38)*(1/S96+1/(-0.0000001+G96))+G96/Scenarios!D$94+S96/Scenarios!D$94)</f>
        <v>33.322102344170254</v>
      </c>
      <c r="U96" s="103">
        <f t="shared" ca="1" si="5"/>
        <v>27.481522103812015</v>
      </c>
      <c r="V96" s="103">
        <f t="shared" ca="1" si="6"/>
        <v>5.8405802403582392</v>
      </c>
      <c r="W96" s="104">
        <f ca="1">MAX(0,(C$39-C$38)/(-0.0000001+G96)/T96)</f>
        <v>0.82472357365807192</v>
      </c>
      <c r="X96" s="104">
        <f t="shared" ca="1" si="15"/>
        <v>0</v>
      </c>
      <c r="Y96" s="104">
        <f ca="1">T96/(C$40*C$38/(G96+0.00001)+(T96-C$40*C$38/(G96+0.0001))/Scenarios!D$54)</f>
        <v>0.9999834809381053</v>
      </c>
      <c r="Z96" s="104">
        <f ca="1">MeanWindAngle!AN53</f>
        <v>0.87250751689502504</v>
      </c>
      <c r="AA96" s="104"/>
      <c r="AB96" s="1918">
        <f ca="1">Scenarios!$D$71+((2*9.81*Mp_t/rho/(S96+A96)^2/wing_area)-Scenarios!$D$69)^2/PI()/A/Scenarios!$D$70</f>
        <v>6.4283057268361088E-2</v>
      </c>
      <c r="AC96" s="1885">
        <f ca="1">MAX(0,(B96-AB96*0.5*rho*(S96+A96)^2*wing_area/Scenarios!D$54/C$30/C$31^2/(MeanWindAngle!AN53+0.0000001))/B96)</f>
        <v>0.97013397383449329</v>
      </c>
      <c r="AD96" s="111">
        <f t="shared" ca="1" si="7"/>
        <v>5766.6261654247974</v>
      </c>
      <c r="AE96" s="111">
        <f ca="1">W96*Y96*Z96*Scenarios!D$55*AC96</f>
        <v>0.69807506467940383</v>
      </c>
      <c r="AF96" s="111">
        <f t="shared" ca="1" si="16"/>
        <v>4149.4659933408566</v>
      </c>
      <c r="AG96" s="1918">
        <f ca="1">W96*Y96*Scenarios!D$55*AC96</f>
        <v>0.80007914105270928</v>
      </c>
      <c r="AH96" s="104">
        <f t="shared" ca="1" si="8"/>
        <v>0.80009235782788979</v>
      </c>
      <c r="AI96" s="109">
        <f t="shared" ca="1" si="9"/>
        <v>7.4887930616598111E-2</v>
      </c>
      <c r="AJ96" s="1961">
        <f t="shared" ca="1" si="17"/>
        <v>106704.84908644634</v>
      </c>
      <c r="AK96" s="664">
        <f t="shared" ca="1" si="10"/>
        <v>106706.6117795709</v>
      </c>
      <c r="AL96" s="103">
        <f t="shared" ca="1" si="22"/>
        <v>0</v>
      </c>
      <c r="AM96" s="29">
        <f ca="1">$A96/Scenarios!$D$17^2*EXP(-0.5*($A96/Scenarios!$D$17)^2)</f>
        <v>5.5706507138845042E-2</v>
      </c>
      <c r="AN96" s="29"/>
      <c r="AO96" s="109"/>
      <c r="AP96" s="111">
        <f t="shared" ca="1" si="18"/>
        <v>25266.745954538215</v>
      </c>
      <c r="AQ96" s="103">
        <f t="shared" ca="1" si="19"/>
        <v>0</v>
      </c>
      <c r="AR96" s="103">
        <f t="shared" ca="1" si="20"/>
        <v>0</v>
      </c>
      <c r="AS96" s="1883"/>
      <c r="AT96" s="1884"/>
    </row>
    <row r="97" spans="1:46" x14ac:dyDescent="0.3">
      <c r="A97">
        <v>14</v>
      </c>
      <c r="B97" s="448">
        <f ca="1">MIN(C$45,4/18*(Scenarios!D$68*COS(C$44))^3/C$46^2*rho*Scenarios!D$20*(A97*MeanWindAngle!E$2)^2)</f>
        <v>34020.000000000007</v>
      </c>
      <c r="C97" s="109">
        <f ca="1">C$46/(Scenarios!D$68*COS(C$44))^1.5*(B97)/SQRT(0.5*rho*Scenarios!D$20*E97)</f>
        <v>7.5602731744469969</v>
      </c>
      <c r="D97" s="109">
        <f ca="1">MAX(0,B97*(A97*MeanWindAngle!E$2-C97))*(A97&gt;C$71)*(A97&gt;Scenarios!D$96)</f>
        <v>184398.63285838271</v>
      </c>
      <c r="E97" s="109">
        <f ca="1">SQRT(B97^2+MeanWindAngle!C$5^2+2*MeanWindAngle!C$5*B97*MeanWindAngle!F$2)</f>
        <v>35929.894844452967</v>
      </c>
      <c r="F97" s="15">
        <f t="shared" ca="1" si="2"/>
        <v>126165.96458802253</v>
      </c>
      <c r="G97" s="104">
        <f ca="1">D97/B97*(H97=1)*(H96=0)/(1+M97+0.0000001)+(H96=1)*G96+D97/B97*(H97=0)</f>
        <v>5.4203007894880271</v>
      </c>
      <c r="H97" s="104">
        <f t="shared" ca="1" si="11"/>
        <v>0</v>
      </c>
      <c r="I97" s="104">
        <f t="shared" ca="1" si="21"/>
        <v>0</v>
      </c>
      <c r="J97" s="104">
        <f ca="1">MAX(0,G97+MeanWindAngle!AL54)</f>
        <v>10.769443376352134</v>
      </c>
      <c r="K97" s="104">
        <f ca="1">2*G97-J97</f>
        <v>7.1158202623919919E-2</v>
      </c>
      <c r="L97" s="111">
        <f ca="1">MAX(0,MeanWindAngle!AM54)</f>
        <v>163836.53877131984</v>
      </c>
      <c r="M97" s="109">
        <f ca="1">2*L96*AG96/Scenarios!D$23/1000-L95*AG95/Scenarios!D$23/1000-1</f>
        <v>-0.14129944645395087</v>
      </c>
      <c r="N97" s="110">
        <f ca="1">MeanWindAngle!AG54</f>
        <v>47.572580166099975</v>
      </c>
      <c r="O97" s="110">
        <f t="shared" ca="1" si="12"/>
        <v>46.967996052500958</v>
      </c>
      <c r="P97" s="109">
        <f ca="1">Scenarios!D$95*PI()*SIN(Scenarios!D$84)*G97/O97</f>
        <v>7.5378959732642137E-2</v>
      </c>
      <c r="Q97" s="103">
        <f t="shared" ca="1" si="4"/>
        <v>797.83626381318152</v>
      </c>
      <c r="R97" s="110">
        <f t="shared" ca="1" si="13"/>
        <v>1.1039671281431387</v>
      </c>
      <c r="S97" s="103">
        <f ca="1">MIN(Scenarios!D$88,Scenarios!D$87*A97)*(Scenarios!D$86="Y")+Scenarios!D$88*(Scenarios!D$86&lt;&gt;"Y")</f>
        <v>30</v>
      </c>
      <c r="T97" s="103">
        <f ca="1">MAX(1,(C$39-C$38)*(1/S97+1/(-0.0000001+G97))+G97/Scenarios!D$94+S97/Scenarios!D$94)</f>
        <v>28.667536959561225</v>
      </c>
      <c r="U97" s="103">
        <f t="shared" ca="1" si="5"/>
        <v>22.780597909180909</v>
      </c>
      <c r="V97" s="103">
        <f t="shared" ca="1" si="6"/>
        <v>5.8869390503803167</v>
      </c>
      <c r="W97" s="104">
        <f t="shared" ca="1" si="14"/>
        <v>0.79464792465014822</v>
      </c>
      <c r="X97" s="104">
        <f t="shared" ca="1" si="15"/>
        <v>0</v>
      </c>
      <c r="Y97" s="104">
        <f ca="1">T97/(C$40*C$38/(G97+0.00001)+(T97-C$40*C$38/(G97+0.0001))/Scenarios!D$54)</f>
        <v>0.99998680591360045</v>
      </c>
      <c r="Z97" s="104">
        <f ca="1">MeanWindAngle!AN54</f>
        <v>0.88849107084836998</v>
      </c>
      <c r="AA97" s="104"/>
      <c r="AB97" s="1918">
        <f ca="1">Scenarios!$D$71+((2*9.81*Mp_t/rho/(S97+A97)^2/wing_area)-Scenarios!$D$69)^2/PI()/A/Scenarios!$D$70</f>
        <v>6.4712240807427157E-2</v>
      </c>
      <c r="AC97" s="1885">
        <f ca="1">MAX(0,(B97-AB97*0.5*rho*(S97+A97)^2*wing_area/Scenarios!D$54/C$30/C$31^2/(MeanWindAngle!AN54+0.0000001))/B97)</f>
        <v>0.96908623446618858</v>
      </c>
      <c r="AD97" s="111">
        <f t="shared" ca="1" si="7"/>
        <v>6066.1190639479491</v>
      </c>
      <c r="AE97" s="111">
        <f ca="1">W97*Y97*Z97*Scenarios!D$55*AC97</f>
        <v>0.68420227759995056</v>
      </c>
      <c r="AF97" s="111">
        <f t="shared" ca="1" si="16"/>
        <v>4282.851548326762</v>
      </c>
      <c r="AG97" s="1918">
        <f ca="1">W97*Y97*Scenarios!D$55*AC97</f>
        <v>0.77007220449232483</v>
      </c>
      <c r="AH97" s="104">
        <f t="shared" ca="1" si="8"/>
        <v>0.77008236502558369</v>
      </c>
      <c r="AI97" s="109">
        <f t="shared" ca="1" si="9"/>
        <v>7.5904462093626363E-2</v>
      </c>
      <c r="AJ97" s="1961">
        <f t="shared" ca="1" si="17"/>
        <v>126165.96458802251</v>
      </c>
      <c r="AK97" s="664">
        <f t="shared" ca="1" si="10"/>
        <v>126167.62925462372</v>
      </c>
      <c r="AL97" s="103">
        <f ca="1">(H97=1)*(H96=0)*(A95+(AJ97-AJ95)/(AJ96-AJ95+0.0000001))</f>
        <v>0</v>
      </c>
      <c r="AM97" s="29">
        <f ca="1">$A97/Scenarios!$D$17^2*EXP(-0.5*($A97/Scenarios!$D$17)^2)</f>
        <v>4.9614234300794015E-2</v>
      </c>
      <c r="AN97" s="29"/>
      <c r="AO97" s="109"/>
      <c r="AP97" s="111">
        <f t="shared" ca="1" si="18"/>
        <v>31526.373682394045</v>
      </c>
      <c r="AQ97" s="103">
        <f t="shared" ca="1" si="19"/>
        <v>0</v>
      </c>
      <c r="AR97" s="103">
        <f t="shared" ca="1" si="20"/>
        <v>0</v>
      </c>
      <c r="AS97" s="1883"/>
      <c r="AT97" s="1884"/>
    </row>
    <row r="98" spans="1:46" x14ac:dyDescent="0.3">
      <c r="A98" s="105">
        <v>15</v>
      </c>
      <c r="B98" s="448">
        <f ca="1">MIN(C$45,4/18*(Scenarios!D$68*COS(C$44))^3/C$46^2*rho*Scenarios!D$20*(A98*MeanWindAngle!E$2)^2)</f>
        <v>34020.000000000007</v>
      </c>
      <c r="C98" s="109">
        <f ca="1">C$46/(Scenarios!D$68*COS(C$44))^1.5*(B98)/SQRT(0.5*rho*Scenarios!D$20*E98)</f>
        <v>7.5602731744469969</v>
      </c>
      <c r="D98" s="109">
        <f ca="1">MAX(0,B98*(A98*MeanWindAngle!E$2-C98))*(A98&gt;C$71)*(A98&gt;Scenarios!D$96)</f>
        <v>215941.4275907448</v>
      </c>
      <c r="E98" s="109">
        <f ca="1">SQRT(B98^2+MeanWindAngle!C$5^2+2*MeanWindAngle!C$5*B98*MeanWindAngle!F$2)</f>
        <v>35929.894844452967</v>
      </c>
      <c r="F98" s="15">
        <f t="shared" ca="1" si="2"/>
        <v>142931.56871317016</v>
      </c>
      <c r="G98" s="104">
        <f t="shared" ca="1" si="23"/>
        <v>6.3474846440548136</v>
      </c>
      <c r="H98" s="104">
        <f t="shared" ca="1" si="11"/>
        <v>0</v>
      </c>
      <c r="I98" s="104">
        <f t="shared" ca="1" si="21"/>
        <v>0</v>
      </c>
      <c r="J98" s="104">
        <f ca="1">MAX(0,G98+MeanWindAngle!AL55)</f>
        <v>11.696627230918921</v>
      </c>
      <c r="K98" s="104">
        <f t="shared" ca="1" si="3"/>
        <v>0.99834205719070646</v>
      </c>
      <c r="L98" s="111">
        <f ca="1">MAX(0,MeanWindAngle!AM55)</f>
        <v>190498.7864458893</v>
      </c>
      <c r="M98" s="109">
        <f ca="1">2*L97*AG97/Scenarios!D$23/1000-L96*AG96/Scenarios!D$23/1000-1</f>
        <v>-2.9152799402675567E-2</v>
      </c>
      <c r="N98" s="110">
        <f ca="1">MeanWindAngle!AG55</f>
        <v>47.572580166099975</v>
      </c>
      <c r="O98" s="110">
        <f t="shared" ca="1" si="12"/>
        <v>46.967996052500958</v>
      </c>
      <c r="P98" s="109">
        <f ca="1">Scenarios!D$95*PI()*SIN(Scenarios!D$84)*G98/O98</f>
        <v>8.8273106598751261E-2</v>
      </c>
      <c r="Q98" s="103">
        <f t="shared" ca="1" si="4"/>
        <v>818.82131727658259</v>
      </c>
      <c r="R98" s="110">
        <f t="shared" ca="1" si="13"/>
        <v>0.92956307565871998</v>
      </c>
      <c r="S98" s="103">
        <f ca="1">MIN(Scenarios!D$88,Scenarios!D$87*A98)*(Scenarios!D$86="Y")+Scenarios!D$88*(Scenarios!D$86&lt;&gt;"Y")</f>
        <v>30</v>
      </c>
      <c r="T98" s="103">
        <f ca="1">MAX(1,(C$39-C$38)*(1/S98+1/(-0.0000001+G98))+G98/Scenarios!D$94+S98/Scenarios!D$94)</f>
        <v>25.386309734152853</v>
      </c>
      <c r="U98" s="103">
        <f t="shared" ca="1" si="5"/>
        <v>19.453011718673945</v>
      </c>
      <c r="V98" s="103">
        <f t="shared" ca="1" si="6"/>
        <v>5.9332980154789077</v>
      </c>
      <c r="W98" s="104">
        <f t="shared" ca="1" si="14"/>
        <v>0.766279641874825</v>
      </c>
      <c r="X98" s="104">
        <f t="shared" ca="1" si="15"/>
        <v>0</v>
      </c>
      <c r="Y98" s="104">
        <f ca="1">T98/(C$40*C$38/(G98+0.00001)+(T98-C$40*C$38/(G98+0.0001))/Scenarios!D$54)</f>
        <v>0.99998913534633738</v>
      </c>
      <c r="Z98" s="104">
        <f ca="1">MeanWindAngle!AN55</f>
        <v>0.89270835336941479</v>
      </c>
      <c r="AA98" s="104"/>
      <c r="AB98" s="1918">
        <f ca="1">Scenarios!$D$71+((2*9.81*Mp_t/rho/(S98+A98)^2/wing_area)-Scenarios!$D$69)^2/PI()/A/Scenarios!$D$70</f>
        <v>6.5131638595355673E-2</v>
      </c>
      <c r="AC98" s="1885">
        <f ca="1">MAX(0,(B98-AB98*0.5*rho*(S98+A98)^2*wing_area/Scenarios!D$54/C$30/C$31^2/(MeanWindAngle!AN55+0.0000001))/B98)</f>
        <v>0.96760927877243474</v>
      </c>
      <c r="AD98" s="111">
        <f t="shared" ca="1" si="7"/>
        <v>5924.4778427105739</v>
      </c>
      <c r="AE98" s="111">
        <f ca="1">W98*Y98*Z98*Scenarios!D$55*AC98</f>
        <v>0.66189971191658536</v>
      </c>
      <c r="AF98" s="111">
        <f t="shared" ca="1" si="16"/>
        <v>4052.6793855483174</v>
      </c>
      <c r="AG98" s="1918">
        <f ca="1">W98*Y98*Scenarios!D$55*AC98</f>
        <v>0.74145123591409068</v>
      </c>
      <c r="AH98" s="104">
        <f t="shared" ca="1" si="8"/>
        <v>0.74145929161249902</v>
      </c>
      <c r="AI98" s="109">
        <f t="shared" ca="1" si="9"/>
        <v>7.1485669733832885E-2</v>
      </c>
      <c r="AJ98" s="1961">
        <f ca="1">MIN(P*1000,L98*AG98)</f>
        <v>141245.56065043906</v>
      </c>
      <c r="AK98" s="664">
        <f t="shared" ca="1" si="10"/>
        <v>141247.0952512098</v>
      </c>
      <c r="AL98" s="103">
        <f t="shared" ca="1" si="22"/>
        <v>0</v>
      </c>
      <c r="AM98" s="29">
        <f ca="1">$A98/Scenarios!$D$17^2*EXP(-0.5*($A98/Scenarios!$D$17)^2)</f>
        <v>4.3348617217417951E-2</v>
      </c>
      <c r="AN98" s="29"/>
      <c r="AO98" s="109"/>
      <c r="AP98" s="111">
        <f t="shared" ca="1" si="18"/>
        <v>37649.173424689521</v>
      </c>
      <c r="AQ98" s="103">
        <f t="shared" ca="1" si="19"/>
        <v>15.962943287671695</v>
      </c>
      <c r="AR98" s="103">
        <f t="shared" ca="1" si="20"/>
        <v>0</v>
      </c>
      <c r="AT98" s="1842"/>
    </row>
    <row r="99" spans="1:46" x14ac:dyDescent="0.3">
      <c r="A99">
        <v>16</v>
      </c>
      <c r="B99" s="448">
        <f ca="1">MIN(C$45,4/18*(Scenarios!D$68*COS(C$44))^3/C$46^2*rho*Scenarios!D$20*(A99*MeanWindAngle!E$2)^2)</f>
        <v>34020.000000000007</v>
      </c>
      <c r="C99" s="109">
        <f ca="1">C$46/(Scenarios!D$68*COS(C$44))^1.5*(B99)/SQRT(0.5*rho*Scenarios!D$20*E99)</f>
        <v>7.5602731744469969</v>
      </c>
      <c r="D99" s="109">
        <f ca="1">MAX(0,B99*(A99*MeanWindAngle!E$2-C99))*(A99&gt;C$71)*(A99&gt;Scenarios!D$96)</f>
        <v>247484.22232310695</v>
      </c>
      <c r="E99" s="109">
        <f ca="1">SQRT(B99^2+MeanWindAngle!C$5^2+2*MeanWindAngle!C$5*B99*MeanWindAngle!F$2)</f>
        <v>35929.894844452967</v>
      </c>
      <c r="F99" s="15">
        <f t="shared" ca="1" si="2"/>
        <v>150000</v>
      </c>
      <c r="G99" s="104">
        <f ca="1">D99/B99*(H99=1)*(H98=0)/(1+M99+0.0000001)+(H98=1)*G98+D99/B99*(H99=0)</f>
        <v>6.9803235322690123</v>
      </c>
      <c r="H99" s="104">
        <f ca="1">(I99&gt;0)*1</f>
        <v>1</v>
      </c>
      <c r="I99" s="104">
        <f ca="1">(M98&lt;0)*(M99&gt;0)+I98</f>
        <v>1</v>
      </c>
      <c r="J99" s="104">
        <f ca="1">MAX(0,G99+MeanWindAngle!AL56)</f>
        <v>12.329466119133119</v>
      </c>
      <c r="K99" s="104">
        <f t="shared" ca="1" si="3"/>
        <v>1.6311809454049051</v>
      </c>
      <c r="L99" s="111">
        <f ca="1">MAX(0,MeanWindAngle!AM56)</f>
        <v>206766.37826513639</v>
      </c>
      <c r="M99" s="109">
        <f ca="1">2*L98*AG98/Scenarios!D$23/1000-L97*AG97/Scenarios!D$23/1000-1</f>
        <v>4.2167711419037524E-2</v>
      </c>
      <c r="N99" s="110">
        <f ca="1">MeanWindAngle!AG56</f>
        <v>47.572580166099975</v>
      </c>
      <c r="O99" s="110">
        <f t="shared" ca="1" si="12"/>
        <v>46.967996052500958</v>
      </c>
      <c r="P99" s="109">
        <f ca="1">Scenarios!D$95*PI()*SIN(Scenarios!D$84)*G99/O99</f>
        <v>9.7073861192382177E-2</v>
      </c>
      <c r="Q99" s="103">
        <f t="shared" ca="1" si="4"/>
        <v>833.48857504911859</v>
      </c>
      <c r="R99" s="110">
        <f t="shared" ca="1" si="13"/>
        <v>0.83712908448887335</v>
      </c>
      <c r="S99" s="103">
        <f ca="1">MIN(Scenarios!D$88,Scenarios!D$87*A99)*(Scenarios!D$86="Y")+Scenarios!D$88*(Scenarios!D$86&lt;&gt;"Y")</f>
        <v>30</v>
      </c>
      <c r="T99" s="103">
        <f ca="1">MAX(1,(C$39-C$38)*(1/S99+1/(-0.0000001+G99))+G99/Scenarios!D$94+S99/Scenarios!D$94)</f>
        <v>23.654333872625948</v>
      </c>
      <c r="U99" s="103">
        <f t="shared" ca="1" si="5"/>
        <v>17.689394018836477</v>
      </c>
      <c r="V99" s="103">
        <f t="shared" ca="1" si="6"/>
        <v>5.9649398537894704</v>
      </c>
      <c r="W99" s="104">
        <f t="shared" ca="1" si="14"/>
        <v>0.74782890192243068</v>
      </c>
      <c r="X99" s="104">
        <f t="shared" ca="1" si="15"/>
        <v>0.74782890192243068</v>
      </c>
      <c r="Y99" s="104">
        <f ca="1">T99/(C$40*C$38/(G99+0.00001)+(T99-C$40*C$38/(G99+0.0001))/Scenarios!D$54)</f>
        <v>0.99999035819896298</v>
      </c>
      <c r="Z99" s="104">
        <f ca="1">MeanWindAngle!AN56</f>
        <v>0.89616085012634783</v>
      </c>
      <c r="AA99" s="104"/>
      <c r="AB99" s="1918">
        <f ca="1">Scenarios!$D$71+((2*9.81*Mp_t/rho/(S99+A99)^2/wing_area)-Scenarios!$D$69)^2/PI()/A/Scenarios!$D$70</f>
        <v>6.5540166782014839E-2</v>
      </c>
      <c r="AC99" s="1885">
        <f ca="1">MAX(0,(B99-AB99*0.5*rho*(S99+A99)^2*wing_area/Scenarios!D$54/C$30/C$31^2/(MeanWindAngle!AN56+0.0000001))/B99)</f>
        <v>0.96607261215725482</v>
      </c>
      <c r="AD99" s="111">
        <f t="shared" ca="1" si="7"/>
        <v>5365.3403124818469</v>
      </c>
      <c r="AE99" s="111">
        <f ca="1">W99*Y99*Z99*Scenarios!D$55*AC99</f>
        <v>0.64743145540889513</v>
      </c>
      <c r="AF99" s="111">
        <f t="shared" ca="1" si="16"/>
        <v>3595.6821915459705</v>
      </c>
      <c r="AG99" s="1918">
        <f ca="1">W99*Y99*Scenarios!D$55*AC99</f>
        <v>0.72245005494004244</v>
      </c>
      <c r="AH99" s="104">
        <f t="shared" ca="1" si="8"/>
        <v>0.72245702072689411</v>
      </c>
      <c r="AI99" s="109">
        <f t="shared" ca="1" si="9"/>
        <v>6.3180221248346297E-2</v>
      </c>
      <c r="AJ99" s="1961">
        <f ca="1">MIN(P*1000,L99*AG99)</f>
        <v>149378.38133740137</v>
      </c>
      <c r="AK99" s="664">
        <f t="shared" ca="1" si="10"/>
        <v>149379.82162792046</v>
      </c>
      <c r="AL99" s="103">
        <f t="shared" ca="1" si="22"/>
        <v>15.539326163190678</v>
      </c>
      <c r="AM99" s="29">
        <f ca="1">$A99/Scenarios!$D$17^2*EXP(-0.5*($A99/Scenarios!$D$17)^2)</f>
        <v>3.7179175485192825E-2</v>
      </c>
      <c r="AN99" s="29"/>
      <c r="AO99" s="109"/>
      <c r="AP99" s="111">
        <f t="shared" ca="1" si="18"/>
        <v>43202.938478126816</v>
      </c>
      <c r="AQ99" s="103">
        <f t="shared" ca="1" si="19"/>
        <v>0</v>
      </c>
      <c r="AR99" s="103">
        <f t="shared" ca="1" si="20"/>
        <v>0</v>
      </c>
      <c r="AT99" s="1842"/>
    </row>
    <row r="100" spans="1:46" x14ac:dyDescent="0.3">
      <c r="A100" s="105">
        <v>17</v>
      </c>
      <c r="B100" s="448">
        <f ca="1">MIN(C$45,4/18*(Scenarios!D$68*COS(C$44))^3/C$46^2*rho*Scenarios!D$20*(A100*MeanWindAngle!E$2)^2)</f>
        <v>34020.000000000007</v>
      </c>
      <c r="C100" s="109">
        <f ca="1">C$46/(Scenarios!D$68*COS(C$44))^1.5*(B100)/SQRT(0.5*rho*Scenarios!D$20*E100)</f>
        <v>7.5602731744469969</v>
      </c>
      <c r="D100" s="109">
        <f ca="1">MAX(0,B100*(A100*MeanWindAngle!E$2-C100))*(A100&gt;C$71)*(A100&gt;Scenarios!D$96)</f>
        <v>279027.01705546904</v>
      </c>
      <c r="E100" s="109">
        <f ca="1">SQRT(B100^2+MeanWindAngle!C$5^2+2*MeanWindAngle!C$5*B100*MeanWindAngle!F$2)</f>
        <v>35929.894844452967</v>
      </c>
      <c r="F100" s="15">
        <f t="shared" ca="1" si="2"/>
        <v>150000</v>
      </c>
      <c r="G100" s="104">
        <f t="shared" ca="1" si="23"/>
        <v>6.9803235322690123</v>
      </c>
      <c r="H100" s="104">
        <f t="shared" ca="1" si="11"/>
        <v>1</v>
      </c>
      <c r="I100" s="104">
        <f t="shared" ca="1" si="21"/>
        <v>1</v>
      </c>
      <c r="J100" s="104">
        <f ca="1">MAX(0,G100+MeanWindAngle!AL57)</f>
        <v>12.329466119133119</v>
      </c>
      <c r="K100" s="104">
        <f t="shared" ca="1" si="3"/>
        <v>1.6311809454049051</v>
      </c>
      <c r="L100" s="111">
        <f ca="1">MAX(0,MeanWindAngle!AM57)</f>
        <v>206766.37826513639</v>
      </c>
      <c r="M100" s="109">
        <f ca="1">2*L99*AG99/Scenarios!D$23/1000-L98*AG98/Scenarios!D$23/1000-1</f>
        <v>5.0074680162424556E-2</v>
      </c>
      <c r="N100" s="110">
        <f ca="1">MeanWindAngle!AG57</f>
        <v>47.572580166099975</v>
      </c>
      <c r="O100" s="110">
        <f t="shared" ca="1" si="12"/>
        <v>46.967996052500958</v>
      </c>
      <c r="P100" s="109">
        <f ca="1">Scenarios!D$95*PI()*SIN(Scenarios!D$84)*G100/O100</f>
        <v>9.7073861192382177E-2</v>
      </c>
      <c r="Q100" s="103">
        <f t="shared" ca="1" si="4"/>
        <v>833.48857504911859</v>
      </c>
      <c r="R100" s="110">
        <f t="shared" ca="1" si="13"/>
        <v>0.83712908448887335</v>
      </c>
      <c r="S100" s="103">
        <f ca="1">MIN(Scenarios!D$88,Scenarios!D$87*A100)*(Scenarios!D$86="Y")+Scenarios!D$88*(Scenarios!D$86&lt;&gt;"Y")</f>
        <v>30</v>
      </c>
      <c r="T100" s="103">
        <f ca="1">MAX(1,(C$39-C$38)*(1/S100+1/(-0.0000001+G100))+G100/Scenarios!D$94+S100/Scenarios!D$94)</f>
        <v>23.654333872625948</v>
      </c>
      <c r="U100" s="103">
        <f t="shared" ca="1" si="5"/>
        <v>17.689394018836477</v>
      </c>
      <c r="V100" s="103">
        <f t="shared" ca="1" si="6"/>
        <v>5.9649398537894704</v>
      </c>
      <c r="W100" s="104">
        <f t="shared" ca="1" si="14"/>
        <v>0.74782890192243068</v>
      </c>
      <c r="X100" s="104">
        <f t="shared" ca="1" si="15"/>
        <v>0</v>
      </c>
      <c r="Y100" s="104">
        <f ca="1">T100/(C$40*C$38/(G100+0.00001)+(T100-C$40*C$38/(G100+0.0001))/Scenarios!D$54)</f>
        <v>0.99999035819896298</v>
      </c>
      <c r="Z100" s="104">
        <f ca="1">MeanWindAngle!AN57</f>
        <v>0.89616085012634783</v>
      </c>
      <c r="AA100" s="104"/>
      <c r="AB100" s="1918">
        <f ca="1">Scenarios!$D$71+((2*9.81*Mp_t/rho/(S100+A100)^2/wing_area)-Scenarios!$D$69)^2/PI()/A/Scenarios!$D$70</f>
        <v>6.5937091052829272E-2</v>
      </c>
      <c r="AC100" s="1885">
        <f ca="1">MAX(0,(B100-AB100*0.5*rho*(S100+A100)^2*wing_area/Scenarios!D$54/C$30/C$31^2/(MeanWindAngle!AN57+0.0000001))/B100)</f>
        <v>0.96436697297446783</v>
      </c>
      <c r="AD100" s="111">
        <f t="shared" ca="1" si="7"/>
        <v>4503.7799347629016</v>
      </c>
      <c r="AE100" s="111">
        <f ca="1">W100*Y100*Z100*Scenarios!D$55*AC100</f>
        <v>0.6462883897173336</v>
      </c>
      <c r="AF100" s="111">
        <f t="shared" ca="1" si="16"/>
        <v>3018.2915459053334</v>
      </c>
      <c r="AG100" s="1918">
        <f ca="1">W100*Y100*Scenarios!D$55*AC100</f>
        <v>0.72117454096127354</v>
      </c>
      <c r="AH100" s="104">
        <f t="shared" ca="1" si="8"/>
        <v>0.72118149444975466</v>
      </c>
      <c r="AI100" s="109">
        <f t="shared" ca="1" si="9"/>
        <v>5.3034811616741326E-2</v>
      </c>
      <c r="AJ100" s="1961">
        <f t="shared" ca="1" si="17"/>
        <v>149114.64793158477</v>
      </c>
      <c r="AK100" s="664">
        <f t="shared" ca="1" si="10"/>
        <v>149116.08567921433</v>
      </c>
      <c r="AL100" s="103">
        <f t="shared" ca="1" si="22"/>
        <v>0</v>
      </c>
      <c r="AM100" s="29">
        <f ca="1">$A100/Scenarios!$D$17^2*EXP(-0.5*($A100/Scenarios!$D$17)^2)</f>
        <v>3.1319478768229887E-2</v>
      </c>
      <c r="AN100" s="29"/>
      <c r="AO100" s="109"/>
      <c r="AP100" s="111">
        <f t="shared" ca="1" si="18"/>
        <v>47873.131528052159</v>
      </c>
      <c r="AQ100" s="103">
        <f t="shared" ca="1" si="19"/>
        <v>0</v>
      </c>
      <c r="AR100" s="103">
        <f t="shared" ca="1" si="20"/>
        <v>0</v>
      </c>
      <c r="AT100" s="1842"/>
    </row>
    <row r="101" spans="1:46" x14ac:dyDescent="0.3">
      <c r="A101">
        <v>18</v>
      </c>
      <c r="B101" s="448">
        <f ca="1">MIN(C$45,4/18*(Scenarios!D$68*COS(C$44))^3/C$46^2*rho*Scenarios!D$20*(A101*MeanWindAngle!E$2)^2)</f>
        <v>34020.000000000007</v>
      </c>
      <c r="C101" s="109">
        <f ca="1">C$46/(Scenarios!D$68*COS(C$44))^1.5*(B101)/SQRT(0.5*rho*Scenarios!D$20*E101)</f>
        <v>7.5602731744469969</v>
      </c>
      <c r="D101" s="109">
        <f ca="1">MAX(0,B101*(A101*MeanWindAngle!E$2-C101))*(A101&gt;C$71)*(A101&gt;Scenarios!D$96)</f>
        <v>310569.81178783119</v>
      </c>
      <c r="E101" s="109">
        <f ca="1">SQRT(B101^2+MeanWindAngle!C$5^2+2*MeanWindAngle!C$5*B101*MeanWindAngle!F$2)</f>
        <v>35929.894844452967</v>
      </c>
      <c r="F101" s="15">
        <f t="shared" ca="1" si="2"/>
        <v>150000</v>
      </c>
      <c r="G101" s="104">
        <f t="shared" ca="1" si="23"/>
        <v>6.9803235322690123</v>
      </c>
      <c r="H101" s="104">
        <f t="shared" ca="1" si="11"/>
        <v>1</v>
      </c>
      <c r="I101" s="104">
        <f t="shared" ca="1" si="21"/>
        <v>1</v>
      </c>
      <c r="J101" s="104">
        <f ca="1">MAX(0,G101+MeanWindAngle!AL58)</f>
        <v>12.329466119133119</v>
      </c>
      <c r="K101" s="104">
        <f t="shared" ca="1" si="3"/>
        <v>1.6311809454049051</v>
      </c>
      <c r="L101" s="111">
        <f ca="1">MAX(0,MeanWindAngle!AM58)</f>
        <v>206766.37826513639</v>
      </c>
      <c r="M101" s="109">
        <f ca="1">2*L100*AG100/Scenarios!D$23/1000-L99*AG99/Scenarios!D$23/1000-1</f>
        <v>-7.6605698282123935E-3</v>
      </c>
      <c r="N101" s="110">
        <f ca="1">MeanWindAngle!AG58</f>
        <v>47.572580166099975</v>
      </c>
      <c r="O101" s="110">
        <f t="shared" ca="1" si="12"/>
        <v>46.967996052500958</v>
      </c>
      <c r="P101" s="109">
        <f ca="1">Scenarios!D$95*PI()*SIN(Scenarios!D$84)*G101/O101</f>
        <v>9.7073861192382177E-2</v>
      </c>
      <c r="Q101" s="103">
        <f t="shared" ca="1" si="4"/>
        <v>833.48857504911859</v>
      </c>
      <c r="R101" s="110">
        <f t="shared" ca="1" si="13"/>
        <v>0.83712908448887335</v>
      </c>
      <c r="S101" s="103">
        <f ca="1">MIN(Scenarios!D$88,Scenarios!D$87*A101)*(Scenarios!D$86="Y")+Scenarios!D$88*(Scenarios!D$86&lt;&gt;"Y")</f>
        <v>30</v>
      </c>
      <c r="T101" s="103">
        <f ca="1">MAX(1,(C$39-C$38)*(1/S101+1/(-0.0000001+G101))+G101/Scenarios!D$94+S101/Scenarios!D$94)</f>
        <v>23.654333872625948</v>
      </c>
      <c r="U101" s="103">
        <f t="shared" ca="1" si="5"/>
        <v>17.689394018836477</v>
      </c>
      <c r="V101" s="103">
        <f t="shared" ca="1" si="6"/>
        <v>5.9649398537894704</v>
      </c>
      <c r="W101" s="104">
        <f ca="1">MAX(0,(C$39-C$38)/(-0.0000001+G101)/T101)</f>
        <v>0.74782890192243068</v>
      </c>
      <c r="X101" s="104">
        <f t="shared" ca="1" si="15"/>
        <v>0</v>
      </c>
      <c r="Y101" s="104">
        <f ca="1">T101/(C$40*C$38/(G101+0.00001)+(T101-C$40*C$38/(G101+0.0001))/Scenarios!D$54)</f>
        <v>0.99999035819896298</v>
      </c>
      <c r="Z101" s="104">
        <f ca="1">MeanWindAngle!AN58</f>
        <v>0.89616085012634783</v>
      </c>
      <c r="AA101" s="104"/>
      <c r="AB101" s="1918">
        <f ca="1">Scenarios!$D$71+((2*9.81*Mp_t/rho/(S101+A101)^2/wing_area)-Scenarios!$D$69)^2/PI()/A/Scenarios!$D$70</f>
        <v>6.6321950475176722E-2</v>
      </c>
      <c r="AC101" s="1885">
        <f ca="1">MAX(0,(B101-AB101*0.5*rho*(S101+A101)^2*wing_area/Scenarios!D$54/C$30/C$31^2/(MeanWindAngle!AN58+0.0000001))/B101)</f>
        <v>0.9626176170074684</v>
      </c>
      <c r="AD101" s="111">
        <f t="shared" ca="1" si="7"/>
        <v>3714.4933280121081</v>
      </c>
      <c r="AE101" s="111">
        <f ca="1">W101*Y101*Z101*Scenarios!D$55*AC101</f>
        <v>0.64511602641307464</v>
      </c>
      <c r="AF101" s="111">
        <f t="shared" ca="1" si="16"/>
        <v>2489.3365065917524</v>
      </c>
      <c r="AG101" s="1918">
        <f ca="1">W101*Y101*Scenarios!D$55*AC101</f>
        <v>0.71986633462298777</v>
      </c>
      <c r="AH101" s="104">
        <f t="shared" ca="1" si="8"/>
        <v>0.71987327549788205</v>
      </c>
      <c r="AI101" s="109">
        <f t="shared" ca="1" si="9"/>
        <v>4.3740470617185154E-2</v>
      </c>
      <c r="AJ101" s="1961">
        <f t="shared" ca="1" si="17"/>
        <v>148844.15484499393</v>
      </c>
      <c r="AK101" s="664">
        <f t="shared" ca="1" si="10"/>
        <v>148845.58998455782</v>
      </c>
      <c r="AL101" s="103">
        <f t="shared" ca="1" si="22"/>
        <v>0</v>
      </c>
      <c r="AM101" s="29">
        <f ca="1">$A101/Scenarios!$D$17^2*EXP(-0.5*($A101/Scenarios!$D$17)^2)</f>
        <v>2.5924715115403743E-2</v>
      </c>
      <c r="AN101" s="29"/>
      <c r="AO101" s="109"/>
      <c r="AP101" s="111">
        <f t="shared" ca="1" si="18"/>
        <v>51731.873839001666</v>
      </c>
      <c r="AQ101" s="103">
        <f t="shared" ca="1" si="19"/>
        <v>0</v>
      </c>
      <c r="AR101" s="103">
        <f t="shared" ca="1" si="20"/>
        <v>0</v>
      </c>
      <c r="AT101" s="1842"/>
    </row>
    <row r="102" spans="1:46" x14ac:dyDescent="0.3">
      <c r="A102" s="105">
        <v>19</v>
      </c>
      <c r="B102" s="448">
        <f ca="1">MIN(C$45,4/18*(Scenarios!D$68*COS(C$44))^3/C$46^2*rho*Scenarios!D$20*(A102*MeanWindAngle!E$2)^2)</f>
        <v>34020.000000000007</v>
      </c>
      <c r="C102" s="109">
        <f ca="1">C$46/(Scenarios!D$68*COS(C$44))^1.5*(B102)/SQRT(0.5*rho*Scenarios!D$20*E102)</f>
        <v>7.5602731744469969</v>
      </c>
      <c r="D102" s="109">
        <f ca="1">MAX(0,B102*(A102*MeanWindAngle!E$2-C102))*(A102&gt;C$71)*(A102&gt;Scenarios!D$96)</f>
        <v>342112.60652019322</v>
      </c>
      <c r="E102" s="109">
        <f ca="1">SQRT(B102^2+MeanWindAngle!C$5^2+2*MeanWindAngle!C$5*B102*MeanWindAngle!F$2)</f>
        <v>35929.894844452967</v>
      </c>
      <c r="F102" s="15">
        <f t="shared" ca="1" si="2"/>
        <v>150000</v>
      </c>
      <c r="G102" s="104">
        <f t="shared" ca="1" si="23"/>
        <v>6.9803235322690123</v>
      </c>
      <c r="H102" s="104">
        <f t="shared" ca="1" si="11"/>
        <v>1</v>
      </c>
      <c r="I102" s="104">
        <f ca="1">(M101&lt;0)*(M102&gt;0)+I101</f>
        <v>1</v>
      </c>
      <c r="J102" s="104">
        <f ca="1">MAX(0,G102+MeanWindAngle!AL59)</f>
        <v>12.329466119133119</v>
      </c>
      <c r="K102" s="104">
        <f t="shared" ca="1" si="3"/>
        <v>1.6311809454049051</v>
      </c>
      <c r="L102" s="111">
        <f ca="1">MAX(0,MeanWindAngle!AM59)</f>
        <v>206766.37826513639</v>
      </c>
      <c r="M102" s="109">
        <f ca="1">2*L101*AG101/Scenarios!D$23/1000-L100*AG100/Scenarios!D$23/1000-1</f>
        <v>-9.5089216106459817E-3</v>
      </c>
      <c r="N102" s="110">
        <f ca="1">MeanWindAngle!AG59</f>
        <v>47.572580166099975</v>
      </c>
      <c r="O102" s="110">
        <f t="shared" ca="1" si="12"/>
        <v>46.967996052500958</v>
      </c>
      <c r="P102" s="109">
        <f ca="1">Scenarios!D$95*PI()*SIN(Scenarios!D$84)*G102/O102</f>
        <v>9.7073861192382177E-2</v>
      </c>
      <c r="Q102" s="103">
        <f t="shared" ca="1" si="4"/>
        <v>833.48857504911859</v>
      </c>
      <c r="R102" s="110">
        <f t="shared" ca="1" si="13"/>
        <v>0.83712908448887335</v>
      </c>
      <c r="S102" s="103">
        <f ca="1">MIN(Scenarios!D$88,Scenarios!D$87*A102)*(Scenarios!D$86="Y")+Scenarios!D$88*(Scenarios!D$86&lt;&gt;"Y")</f>
        <v>30</v>
      </c>
      <c r="T102" s="103">
        <f ca="1">MAX(1,(C$39-C$38)*(1/S102+1/(-0.0000001+G102))+G102/Scenarios!D$94+S102/Scenarios!D$94)</f>
        <v>23.654333872625948</v>
      </c>
      <c r="U102" s="103">
        <f t="shared" ca="1" si="5"/>
        <v>17.689394018836477</v>
      </c>
      <c r="V102" s="103">
        <f t="shared" ca="1" si="6"/>
        <v>5.9649398537894704</v>
      </c>
      <c r="W102" s="104">
        <f t="shared" ca="1" si="14"/>
        <v>0.74782890192243068</v>
      </c>
      <c r="X102" s="104">
        <f t="shared" ca="1" si="15"/>
        <v>0</v>
      </c>
      <c r="Y102" s="104">
        <f ca="1">T102/(C$40*C$38/(G102+0.00001)+(T102-C$40*C$38/(G102+0.0001))/Scenarios!D$54)</f>
        <v>0.99999035819896298</v>
      </c>
      <c r="Z102" s="104">
        <f ca="1">MeanWindAngle!AN59</f>
        <v>0.89616085012634783</v>
      </c>
      <c r="AA102" s="104"/>
      <c r="AB102" s="1918">
        <f ca="1">Scenarios!$D$71+((2*9.81*Mp_t/rho/(S102+A102)^2/wing_area)-Scenarios!$D$69)^2/PI()/A/Scenarios!$D$70</f>
        <v>6.6694497268483616E-2</v>
      </c>
      <c r="AC102" s="1885">
        <f ca="1">MAX(0,(B102-AB102*0.5*rho*(S102+A102)^2*wing_area/Scenarios!D$54/C$30/C$31^2/(MeanWindAngle!AN59+0.0000001))/B102)</f>
        <v>0.96082496607566104</v>
      </c>
      <c r="AD102" s="111">
        <f t="shared" ca="1" si="7"/>
        <v>3011.1165065039113</v>
      </c>
      <c r="AE102" s="111">
        <f ca="1">W102*Y102*Z102*Scenarios!D$55*AC102</f>
        <v>0.6439146481862057</v>
      </c>
      <c r="AF102" s="111">
        <f t="shared" ca="1" si="16"/>
        <v>2017.9555011484392</v>
      </c>
      <c r="AG102" s="1918">
        <f ca="1">W102*Y102*Scenarios!D$55*AC102</f>
        <v>0.7185257513708857</v>
      </c>
      <c r="AH102" s="104">
        <f t="shared" ca="1" si="8"/>
        <v>0.7185326793200183</v>
      </c>
      <c r="AI102" s="109">
        <f t="shared" ca="1" si="9"/>
        <v>3.5457770804004037E-2</v>
      </c>
      <c r="AJ102" s="1961">
        <f t="shared" ca="1" si="17"/>
        <v>148566.96730119389</v>
      </c>
      <c r="AK102" s="664">
        <f t="shared" ca="1" si="10"/>
        <v>148568.39976814485</v>
      </c>
      <c r="AL102" s="103">
        <f t="shared" ca="1" si="22"/>
        <v>0</v>
      </c>
      <c r="AM102" s="29">
        <f ca="1">$A102/Scenarios!$D$17^2*EXP(-0.5*($A102/Scenarios!$D$17)^2)</f>
        <v>2.1094101051758164E-2</v>
      </c>
      <c r="AN102" s="29"/>
      <c r="AO102" s="109"/>
      <c r="AP102" s="111">
        <f t="shared" ca="1" si="18"/>
        <v>54865.7604602063</v>
      </c>
      <c r="AQ102" s="103">
        <f t="shared" ca="1" si="19"/>
        <v>0</v>
      </c>
      <c r="AR102" s="103">
        <f t="shared" ca="1" si="20"/>
        <v>0</v>
      </c>
      <c r="AT102" s="1842"/>
    </row>
    <row r="103" spans="1:46" x14ac:dyDescent="0.3">
      <c r="A103">
        <v>20</v>
      </c>
      <c r="B103" s="448">
        <f ca="1">MIN(C$45,4/18*(Scenarios!D$68*COS(C$44))^3/C$46^2*rho*Scenarios!D$20*(A103*MeanWindAngle!E$2)^2)</f>
        <v>34020.000000000007</v>
      </c>
      <c r="C103" s="109">
        <f ca="1">C$46/(Scenarios!D$68*COS(C$44))^1.5*(B103)/SQRT(0.5*rho*Scenarios!D$20*E103)</f>
        <v>7.5602731744469969</v>
      </c>
      <c r="D103" s="109">
        <f ca="1">MAX(0,B103*(A103*MeanWindAngle!E$2-C103))*(A103&gt;C$71)*(A103&gt;Scenarios!D$96)</f>
        <v>373655.40125255537</v>
      </c>
      <c r="E103" s="109">
        <f ca="1">SQRT(B103^2+MeanWindAngle!C$5^2+2*MeanWindAngle!C$5*B103*MeanWindAngle!F$2)</f>
        <v>35929.894844452967</v>
      </c>
      <c r="F103" s="15">
        <f t="shared" ca="1" si="2"/>
        <v>150000</v>
      </c>
      <c r="G103" s="104">
        <f t="shared" ca="1" si="23"/>
        <v>6.9803235322690123</v>
      </c>
      <c r="H103" s="104">
        <f t="shared" ca="1" si="11"/>
        <v>1</v>
      </c>
      <c r="I103" s="104">
        <f t="shared" ca="1" si="21"/>
        <v>1</v>
      </c>
      <c r="J103" s="104">
        <f ca="1">MAX(0,G103+MeanWindAngle!AL60)</f>
        <v>12.329466119133119</v>
      </c>
      <c r="K103" s="104">
        <f t="shared" ca="1" si="3"/>
        <v>1.6311809454049051</v>
      </c>
      <c r="L103" s="111">
        <f ca="1">MAX(0,MeanWindAngle!AM60)</f>
        <v>206766.37826513639</v>
      </c>
      <c r="M103" s="109">
        <f ca="1">2*L102*AG102/Scenarios!D$23/1000-L101*AG101/Scenarios!D$23/1000-1</f>
        <v>-1.1401468284040983E-2</v>
      </c>
      <c r="N103" s="110">
        <f ca="1">MeanWindAngle!AG60</f>
        <v>47.572580166099975</v>
      </c>
      <c r="O103" s="110">
        <f t="shared" ca="1" si="12"/>
        <v>46.967996052500958</v>
      </c>
      <c r="P103" s="109">
        <f ca="1">Scenarios!D$95*PI()*SIN(Scenarios!D$84)*G103/O103</f>
        <v>9.7073861192382177E-2</v>
      </c>
      <c r="Q103" s="103">
        <f ca="1">C$38*(1+P103)/(1-P103)</f>
        <v>833.48857504911859</v>
      </c>
      <c r="R103" s="110">
        <f t="shared" ca="1" si="13"/>
        <v>0.83712908448887335</v>
      </c>
      <c r="S103" s="103">
        <f ca="1">MIN(Scenarios!D$88,Scenarios!D$87*A103)*(Scenarios!D$86="Y")+Scenarios!D$88*(Scenarios!D$86&lt;&gt;"Y")</f>
        <v>30</v>
      </c>
      <c r="T103" s="103">
        <f ca="1">MAX(1,(C$39-C$38)*(1/S103+1/(-0.0000001+G103))+G103/Scenarios!D$94+S103/Scenarios!D$94)</f>
        <v>23.654333872625948</v>
      </c>
      <c r="U103" s="103">
        <f t="shared" ca="1" si="5"/>
        <v>17.689394018836477</v>
      </c>
      <c r="V103" s="103">
        <f t="shared" ca="1" si="6"/>
        <v>5.9649398537894704</v>
      </c>
      <c r="W103" s="104">
        <f t="shared" ca="1" si="14"/>
        <v>0.74782890192243068</v>
      </c>
      <c r="X103" s="104">
        <f t="shared" ca="1" si="15"/>
        <v>0</v>
      </c>
      <c r="Y103" s="104">
        <f ca="1">T103/(C$40*C$38/(G103+0.00001)+(T103-C$40*C$38/(G103+0.0001))/Scenarios!D$54)</f>
        <v>0.99999035819896298</v>
      </c>
      <c r="Z103" s="104">
        <f ca="1">MeanWindAngle!AN60</f>
        <v>0.89616085012634783</v>
      </c>
      <c r="AA103" s="104"/>
      <c r="AB103" s="1918">
        <f ca="1">Scenarios!$D$71+((2*9.81*Mp_t/rho/(S103+A103)^2/wing_area)-Scenarios!$D$69)^2/PI()/A/Scenarios!$D$70</f>
        <v>6.7054649084788226E-2</v>
      </c>
      <c r="AC103" s="1885">
        <f ca="1">MAX(0,(B103-AB103*0.5*rho*(S103+A103)^2*wing_area/Scenarios!D$54/C$30/C$31^2/(MeanWindAngle!AN60+0.0000001))/B103)</f>
        <v>0.95898940024277202</v>
      </c>
      <c r="AD103" s="111">
        <f t="shared" ca="1" si="7"/>
        <v>2399.932316500036</v>
      </c>
      <c r="AE103" s="111">
        <f ca="1">W103*Y103*Z103*Scenarios!D$55*AC103</f>
        <v>0.64268450974347269</v>
      </c>
      <c r="AF103" s="111">
        <f t="shared" ca="1" si="16"/>
        <v>1608.3590953736066</v>
      </c>
      <c r="AG103" s="1918">
        <f ca="1">W103*Y103*Scenarios!D$55*AC103</f>
        <v>0.71715307542486595</v>
      </c>
      <c r="AH103" s="104">
        <f t="shared" ca="1" si="8"/>
        <v>0.71715999013880261</v>
      </c>
      <c r="AI103" s="109">
        <f t="shared" ca="1" si="9"/>
        <v>2.8260696601999848E-2</v>
      </c>
      <c r="AJ103" s="1961">
        <f t="shared" ca="1" si="17"/>
        <v>148283.14406730371</v>
      </c>
      <c r="AK103" s="664">
        <f t="shared" ca="1" si="10"/>
        <v>148284.57379766114</v>
      </c>
      <c r="AL103" s="103">
        <f t="shared" ca="1" si="22"/>
        <v>0</v>
      </c>
      <c r="AM103" s="29">
        <f ca="1">$A103/Scenarios!$D$17^2*EXP(-0.5*($A103/Scenarios!$D$17)^2)</f>
        <v>1.687692813234935E-2</v>
      </c>
      <c r="AN103" s="29"/>
      <c r="AO103" s="109"/>
      <c r="AP103" s="111">
        <f t="shared" ca="1" si="18"/>
        <v>57368.324425868988</v>
      </c>
      <c r="AQ103" s="103">
        <f t="shared" ca="1" si="19"/>
        <v>0</v>
      </c>
      <c r="AR103" s="103">
        <f t="shared" ca="1" si="20"/>
        <v>0</v>
      </c>
      <c r="AT103" s="1842"/>
    </row>
    <row r="104" spans="1:46" x14ac:dyDescent="0.3">
      <c r="A104" s="105">
        <v>21</v>
      </c>
      <c r="B104" s="448">
        <f ca="1">MIN(C$45,4/18*(Scenarios!D$68*COS(C$44))^3/C$46^2*rho*Scenarios!D$20*(A104*MeanWindAngle!E$2)^2)</f>
        <v>34020.000000000007</v>
      </c>
      <c r="C104" s="109">
        <f ca="1">C$46/(Scenarios!D$68*COS(C$44))^1.5*(B104)/SQRT(0.5*rho*Scenarios!D$20*E104)</f>
        <v>7.5602731744469969</v>
      </c>
      <c r="D104" s="109">
        <f ca="1">MAX(0,B104*(A104*MeanWindAngle!E$2-C104))*(A104&gt;C$71)*(A104&gt;Scenarios!D$96)</f>
        <v>405198.19598491752</v>
      </c>
      <c r="E104" s="109">
        <f ca="1">SQRT(B104^2+MeanWindAngle!C$5^2+2*MeanWindAngle!C$5*B104*MeanWindAngle!F$2)</f>
        <v>35929.894844452967</v>
      </c>
      <c r="F104" s="15">
        <f t="shared" ca="1" si="2"/>
        <v>150000</v>
      </c>
      <c r="G104" s="104">
        <f t="shared" ca="1" si="23"/>
        <v>6.9803235322690123</v>
      </c>
      <c r="H104" s="104">
        <f t="shared" ca="1" si="11"/>
        <v>1</v>
      </c>
      <c r="I104" s="104">
        <f t="shared" ca="1" si="21"/>
        <v>1</v>
      </c>
      <c r="J104" s="104">
        <f ca="1">MAX(0,G104+MeanWindAngle!AL61)</f>
        <v>12.329466119133119</v>
      </c>
      <c r="K104" s="104">
        <f t="shared" ca="1" si="3"/>
        <v>1.6311809454049051</v>
      </c>
      <c r="L104" s="111">
        <f ca="1">MAX(0,MeanWindAngle!AM61)</f>
        <v>206766.37826513639</v>
      </c>
      <c r="M104" s="109">
        <f ca="1">2*L103*AG103/Scenarios!D$23/1000-L102*AG102/Scenarios!D$23/1000-1</f>
        <v>-1.3337861110576443E-2</v>
      </c>
      <c r="N104" s="110">
        <f ca="1">MeanWindAngle!AG61</f>
        <v>47.572580166099975</v>
      </c>
      <c r="O104" s="110">
        <f t="shared" ca="1" si="12"/>
        <v>46.967996052500958</v>
      </c>
      <c r="P104" s="109">
        <f ca="1">Scenarios!D$95*PI()*SIN(Scenarios!D$84)*G104/O104</f>
        <v>9.7073861192382177E-2</v>
      </c>
      <c r="Q104" s="103">
        <f ca="1">C$38*(1+P104)/(1-P104)</f>
        <v>833.48857504911859</v>
      </c>
      <c r="R104" s="110">
        <f t="shared" ca="1" si="13"/>
        <v>0.83712908448887335</v>
      </c>
      <c r="S104" s="103">
        <f ca="1">MIN(Scenarios!D$88,Scenarios!D$87*A104)*(Scenarios!D$86="Y")+Scenarios!D$88*(Scenarios!D$86&lt;&gt;"Y")</f>
        <v>30</v>
      </c>
      <c r="T104" s="103">
        <f ca="1">MAX(1,(C$39-C$38)*(1/S104+1/(-0.0000001+G104))+G104/Scenarios!D$94+S104/Scenarios!D$94)</f>
        <v>23.654333872625948</v>
      </c>
      <c r="U104" s="103">
        <f t="shared" ca="1" si="5"/>
        <v>17.689394018836477</v>
      </c>
      <c r="V104" s="103">
        <f t="shared" ca="1" si="6"/>
        <v>5.9649398537894704</v>
      </c>
      <c r="W104" s="104">
        <f t="shared" ca="1" si="14"/>
        <v>0.74782890192243068</v>
      </c>
      <c r="X104" s="104">
        <f t="shared" ca="1" si="15"/>
        <v>0</v>
      </c>
      <c r="Y104" s="104">
        <f ca="1">T104/(C$40*C$38/(G104+0.00001)+(T104-C$40*C$38/(G104+0.0001))/Scenarios!D$54)</f>
        <v>0.99999035819896298</v>
      </c>
      <c r="Z104" s="104">
        <f ca="1">MeanWindAngle!AN61</f>
        <v>0.89616085012634783</v>
      </c>
      <c r="AA104" s="104"/>
      <c r="AB104" s="1918">
        <f ca="1">Scenarios!$D$71+((2*9.81*Mp_t/rho/(S104+A104)^2/wing_area)-Scenarios!$D$69)^2/PI()/A/Scenarios!$D$70</f>
        <v>6.7402451150793671E-2</v>
      </c>
      <c r="AC104" s="1885">
        <f ca="1">MAX(0,(B104-AB104*0.5*rho*(S104+A104)^2*wing_area/Scenarios!D$54/C$30/C$31^2/(MeanWindAngle!AN61+0.0000001))/B104)</f>
        <v>0.9571112626804501</v>
      </c>
      <c r="AD104" s="111">
        <f t="shared" ca="1" si="7"/>
        <v>1881.1852599282995</v>
      </c>
      <c r="AE104" s="111">
        <f ca="1">W104*Y104*Z104*Scenarios!D$55*AC104</f>
        <v>0.64142584106771239</v>
      </c>
      <c r="AF104" s="111">
        <f t="shared" ca="1" si="16"/>
        <v>1260.7111467630411</v>
      </c>
      <c r="AG104" s="1918">
        <f ca="1">W104*Y104*Scenarios!D$55*AC104</f>
        <v>0.71574856341613136</v>
      </c>
      <c r="AH104" s="104">
        <f t="shared" ca="1" si="8"/>
        <v>0.71575546458791206</v>
      </c>
      <c r="AI104" s="109">
        <f t="shared" ca="1" si="9"/>
        <v>2.2152127173536106E-2</v>
      </c>
      <c r="AJ104" s="1961">
        <f t="shared" ca="1" si="17"/>
        <v>147992.73820602777</v>
      </c>
      <c r="AK104" s="664">
        <f t="shared" ca="1" si="10"/>
        <v>147994.16513632267</v>
      </c>
      <c r="AL104" s="103">
        <f t="shared" ca="1" si="22"/>
        <v>0</v>
      </c>
      <c r="AM104" s="29">
        <f ca="1">$A104/Scenarios!$D$17^2*EXP(-0.5*($A104/Scenarios!$D$17)^2)</f>
        <v>1.3280937554451462E-2</v>
      </c>
      <c r="AN104" s="29"/>
      <c r="AO104" s="109"/>
      <c r="AP104" s="111">
        <f t="shared" ca="1" si="18"/>
        <v>59333.806740495529</v>
      </c>
      <c r="AQ104" s="103">
        <f t="shared" ca="1" si="19"/>
        <v>0</v>
      </c>
      <c r="AR104" s="103">
        <f t="shared" ca="1" si="20"/>
        <v>0</v>
      </c>
      <c r="AT104" s="1842"/>
    </row>
    <row r="105" spans="1:46" x14ac:dyDescent="0.3">
      <c r="A105">
        <v>22</v>
      </c>
      <c r="B105" s="448">
        <f ca="1">MIN(C$45,4/18*(Scenarios!D$68*COS(C$44))^3/C$46^2*rho*Scenarios!D$20*(A105*MeanWindAngle!E$2)^2)</f>
        <v>34020.000000000007</v>
      </c>
      <c r="C105" s="109">
        <f ca="1">C$46/(Scenarios!D$68*COS(C$44))^1.5*(B105)/SQRT(0.5*rho*Scenarios!D$20*E105)</f>
        <v>7.5602731744469969</v>
      </c>
      <c r="D105" s="109">
        <f ca="1">MAX(0,B105*(A105*MeanWindAngle!E$2-C105))*(A105&gt;C$71)*(A105&gt;Scenarios!D$96)</f>
        <v>436740.99071727955</v>
      </c>
      <c r="E105" s="109">
        <f ca="1">SQRT(B105^2+MeanWindAngle!C$5^2+2*MeanWindAngle!C$5*B105*MeanWindAngle!F$2)</f>
        <v>35929.894844452967</v>
      </c>
      <c r="F105" s="15">
        <f t="shared" ca="1" si="2"/>
        <v>150000</v>
      </c>
      <c r="G105" s="104">
        <f ca="1">D105/B105*(H105=1)*(H104=0)/(1+M105+0.0000001)+(H104=1)*G104+D105/B105*(H105=0)</f>
        <v>6.9803235322690123</v>
      </c>
      <c r="H105" s="104">
        <f t="shared" ca="1" si="11"/>
        <v>1</v>
      </c>
      <c r="I105" s="104">
        <f t="shared" ca="1" si="21"/>
        <v>1</v>
      </c>
      <c r="J105" s="104">
        <f ca="1">MAX(0,G105+MeanWindAngle!AL62)</f>
        <v>12.329466119133119</v>
      </c>
      <c r="K105" s="104">
        <f t="shared" ca="1" si="3"/>
        <v>1.6311809454049051</v>
      </c>
      <c r="L105" s="111">
        <f ca="1">MAX(0,MeanWindAngle!AM62)</f>
        <v>206766.37826513639</v>
      </c>
      <c r="M105" s="109">
        <f ca="1">2*L104*AG104/Scenarios!D$23/1000-L103*AG103/Scenarios!D$23/1000-1</f>
        <v>-1.5317784368321097E-2</v>
      </c>
      <c r="N105" s="110">
        <f ca="1">MeanWindAngle!AG62</f>
        <v>47.572580166099975</v>
      </c>
      <c r="O105" s="110">
        <f t="shared" ca="1" si="12"/>
        <v>46.967996052500958</v>
      </c>
      <c r="P105" s="109">
        <f ca="1">Scenarios!D$95*PI()*SIN(Scenarios!D$84)*G105/O105</f>
        <v>9.7073861192382177E-2</v>
      </c>
      <c r="Q105" s="103">
        <f t="shared" ca="1" si="4"/>
        <v>833.48857504911859</v>
      </c>
      <c r="R105" s="110">
        <f t="shared" ca="1" si="13"/>
        <v>0.83712908448887335</v>
      </c>
      <c r="S105" s="103">
        <f ca="1">MIN(Scenarios!D$88,Scenarios!D$87*A105)*(Scenarios!D$86="Y")+Scenarios!D$88*(Scenarios!D$86&lt;&gt;"Y")</f>
        <v>30</v>
      </c>
      <c r="T105" s="103">
        <f ca="1">MAX(1,(C$39-C$38)*(1/S105+1/(-0.0000001+G105))+G105/Scenarios!D$94+S105/Scenarios!D$94)</f>
        <v>23.654333872625948</v>
      </c>
      <c r="U105" s="103">
        <f t="shared" ca="1" si="5"/>
        <v>17.689394018836477</v>
      </c>
      <c r="V105" s="103">
        <f t="shared" ca="1" si="6"/>
        <v>5.9649398537894704</v>
      </c>
      <c r="W105" s="104">
        <f t="shared" ca="1" si="14"/>
        <v>0.74782890192243068</v>
      </c>
      <c r="X105" s="104">
        <f t="shared" ca="1" si="15"/>
        <v>0</v>
      </c>
      <c r="Y105" s="104">
        <f ca="1">T105/(C$40*C$38/(G105+0.00001)+(T105-C$40*C$38/(G105+0.0001))/Scenarios!D$54)</f>
        <v>0.99999035819896298</v>
      </c>
      <c r="Z105" s="104">
        <f ca="1">MeanWindAngle!AN62</f>
        <v>0.89616085012634783</v>
      </c>
      <c r="AA105" s="104"/>
      <c r="AB105" s="1918">
        <f ca="1">Scenarios!$D$71+((2*9.81*Mp_t/rho/(S105+A105)^2/wing_area)-Scenarios!$D$69)^2/PI()/A/Scenarios!$D$70</f>
        <v>6.7738046206999608E-2</v>
      </c>
      <c r="AC105" s="1885">
        <f ca="1">MAX(0,(B105-AB105*0.5*rho*(S105+A105)^2*wing_area/Scenarios!D$54/C$30/C$31^2/(MeanWindAngle!AN62+0.0000001))/B105)</f>
        <v>0.95519086388355756</v>
      </c>
      <c r="AD105" s="111">
        <f t="shared" ca="1" si="7"/>
        <v>1450.5292961407554</v>
      </c>
      <c r="AE105" s="111">
        <f ca="1">W105*Y105*Z105*Scenarios!D$55*AC105</f>
        <v>0.64013885024280825</v>
      </c>
      <c r="AF105" s="111">
        <f t="shared" ca="1" si="16"/>
        <v>972.099075675672</v>
      </c>
      <c r="AG105" s="1918">
        <f ca="1">W105*Y105*Scenarios!D$55*AC105</f>
        <v>0.71431244753947509</v>
      </c>
      <c r="AH105" s="104">
        <f t="shared" ca="1" si="8"/>
        <v>0.71431933486437882</v>
      </c>
      <c r="AI105" s="109">
        <f t="shared" ca="1" si="9"/>
        <v>1.7080885185265876E-2</v>
      </c>
      <c r="AJ105" s="1961">
        <f t="shared" ca="1" si="17"/>
        <v>147695.79772744249</v>
      </c>
      <c r="AK105" s="664">
        <f t="shared" ca="1" si="10"/>
        <v>147697.22179466879</v>
      </c>
      <c r="AL105" s="103">
        <f t="shared" ca="1" si="22"/>
        <v>0</v>
      </c>
      <c r="AM105" s="29">
        <f ca="1">$A105/Scenarios!$D$17^2*EXP(-0.5*($A105/Scenarios!$D$17)^2)</f>
        <v>1.0281777605499176E-2</v>
      </c>
      <c r="AN105" s="29"/>
      <c r="AO105" s="109"/>
      <c r="AP105" s="111">
        <f t="shared" ca="1" si="18"/>
        <v>60852.38208599588</v>
      </c>
      <c r="AQ105" s="103">
        <f t="shared" ca="1" si="19"/>
        <v>0</v>
      </c>
      <c r="AR105" s="103">
        <f t="shared" ca="1" si="20"/>
        <v>0</v>
      </c>
      <c r="AT105" s="1842"/>
    </row>
    <row r="106" spans="1:46" x14ac:dyDescent="0.3">
      <c r="A106" s="105">
        <v>23</v>
      </c>
      <c r="B106" s="448">
        <f ca="1">MIN(C$45,4/18*(Scenarios!D$68*COS(C$44))^3/C$46^2*rho*Scenarios!D$20*(A106*MeanWindAngle!E$2)^2)</f>
        <v>34020.000000000007</v>
      </c>
      <c r="C106" s="109">
        <f ca="1">C$46/(Scenarios!D$68*COS(C$44))^1.5*(B106)/SQRT(0.5*rho*Scenarios!D$20*E106)</f>
        <v>7.5602731744469969</v>
      </c>
      <c r="D106" s="109">
        <f ca="1">MAX(0,B106*(A106*MeanWindAngle!E$2-C106))*(A106&gt;C$71)*(A106&gt;Scenarios!D$96)</f>
        <v>468283.7854496417</v>
      </c>
      <c r="E106" s="109">
        <f ca="1">SQRT(B106^2+MeanWindAngle!C$5^2+2*MeanWindAngle!C$5*B106*MeanWindAngle!F$2)</f>
        <v>35929.894844452967</v>
      </c>
      <c r="F106" s="15">
        <f t="shared" ca="1" si="2"/>
        <v>150000</v>
      </c>
      <c r="G106" s="104">
        <f t="shared" ca="1" si="23"/>
        <v>6.9803235322690123</v>
      </c>
      <c r="H106" s="104">
        <f t="shared" ca="1" si="11"/>
        <v>1</v>
      </c>
      <c r="I106" s="104">
        <f t="shared" ca="1" si="21"/>
        <v>1</v>
      </c>
      <c r="J106" s="104">
        <f ca="1">MAX(0,G106+MeanWindAngle!AL63)</f>
        <v>12.329466119133119</v>
      </c>
      <c r="K106" s="104">
        <f t="shared" ca="1" si="3"/>
        <v>1.6311809454049051</v>
      </c>
      <c r="L106" s="111">
        <f ca="1">MAX(0,MeanWindAngle!AM63)</f>
        <v>206766.37826513639</v>
      </c>
      <c r="M106" s="109">
        <f ca="1">2*L105*AG105/Scenarios!D$23/1000-L104*AG104/Scenarios!D$23/1000-1</f>
        <v>-1.7340951674285288E-2</v>
      </c>
      <c r="N106" s="110">
        <f ca="1">MeanWindAngle!AG63</f>
        <v>47.572580166099975</v>
      </c>
      <c r="O106" s="110">
        <f t="shared" ca="1" si="12"/>
        <v>46.967996052500958</v>
      </c>
      <c r="P106" s="109">
        <f ca="1">Scenarios!D$95*PI()*SIN(Scenarios!D$84)*G106/O106</f>
        <v>9.7073861192382177E-2</v>
      </c>
      <c r="Q106" s="103">
        <f t="shared" ca="1" si="4"/>
        <v>833.48857504911859</v>
      </c>
      <c r="R106" s="110">
        <f t="shared" ca="1" si="13"/>
        <v>0.83712908448887335</v>
      </c>
      <c r="S106" s="103">
        <f ca="1">MIN(Scenarios!D$88,Scenarios!D$87*A106)*(Scenarios!D$86="Y")+Scenarios!D$88*(Scenarios!D$86&lt;&gt;"Y")</f>
        <v>30</v>
      </c>
      <c r="T106" s="103">
        <f ca="1">MAX(1,(C$39-C$38)*(1/S106+1/(-0.0000001+G106))+G106/Scenarios!D$94+S106/Scenarios!D$94)</f>
        <v>23.654333872625948</v>
      </c>
      <c r="U106" s="103">
        <f t="shared" ca="1" si="5"/>
        <v>17.689394018836477</v>
      </c>
      <c r="V106" s="103">
        <f t="shared" ca="1" si="6"/>
        <v>5.9649398537894704</v>
      </c>
      <c r="W106" s="104">
        <f t="shared" ca="1" si="14"/>
        <v>0.74782890192243068</v>
      </c>
      <c r="X106" s="104">
        <f t="shared" ca="1" si="15"/>
        <v>0</v>
      </c>
      <c r="Y106" s="104">
        <f ca="1">T106/(C$40*C$38/(G106+0.00001)+(T106-C$40*C$38/(G106+0.0001))/Scenarios!D$54)</f>
        <v>0.99999035819896298</v>
      </c>
      <c r="Z106" s="104">
        <f ca="1">MeanWindAngle!AN63</f>
        <v>0.89616085012634783</v>
      </c>
      <c r="AA106" s="104"/>
      <c r="AB106" s="1918">
        <f ca="1">Scenarios!$D$71+((2*9.81*Mp_t/rho/(S106+A106)^2/wing_area)-Scenarios!$D$69)^2/PI()/A/Scenarios!$D$70</f>
        <v>6.8061650628754383E-2</v>
      </c>
      <c r="AC106" s="1885">
        <f ca="1">MAX(0,(B106-AB106*0.5*rho*(S106+A106)^2*wing_area/Scenarios!D$54/C$30/C$31^2/(MeanWindAngle!AN63+0.0000001))/B106)</f>
        <v>0.95322848533406512</v>
      </c>
      <c r="AD106" s="111">
        <f t="shared" ca="1" si="7"/>
        <v>1100.4530015609828</v>
      </c>
      <c r="AE106" s="111">
        <f ca="1">W106*Y106*Z106*Scenarios!D$55*AC106</f>
        <v>0.63882372590911651</v>
      </c>
      <c r="AF106" s="111">
        <f t="shared" ca="1" si="16"/>
        <v>737.48896246914865</v>
      </c>
      <c r="AG106" s="1918">
        <f ca="1">W106*Y106*Scenarios!D$55*AC106</f>
        <v>0.71284493829322071</v>
      </c>
      <c r="AH106" s="104">
        <f t="shared" ca="1" si="8"/>
        <v>0.7128518114685557</v>
      </c>
      <c r="AI106" s="109">
        <f t="shared" ca="1" si="9"/>
        <v>1.2958518949913284E-2</v>
      </c>
      <c r="AJ106" s="1961">
        <f t="shared" ca="1" si="17"/>
        <v>147392.36615552387</v>
      </c>
      <c r="AK106" s="664">
        <f t="shared" ca="1" si="10"/>
        <v>147393.78729709508</v>
      </c>
      <c r="AL106" s="103">
        <f t="shared" ca="1" si="22"/>
        <v>0</v>
      </c>
      <c r="AM106" s="29">
        <f ca="1">$A106/Scenarios!$D$17^2*EXP(-0.5*($A106/Scenarios!$D$17)^2)</f>
        <v>7.8324836429980952E-3</v>
      </c>
      <c r="AN106" s="29"/>
      <c r="AO106" s="109"/>
      <c r="AP106" s="111">
        <f t="shared" ca="1" si="18"/>
        <v>62006.830383011809</v>
      </c>
      <c r="AQ106" s="103">
        <f t="shared" ca="1" si="19"/>
        <v>0</v>
      </c>
      <c r="AR106" s="103">
        <f t="shared" ca="1" si="20"/>
        <v>0</v>
      </c>
      <c r="AT106" s="1842"/>
    </row>
    <row r="107" spans="1:46" x14ac:dyDescent="0.3">
      <c r="A107">
        <v>24</v>
      </c>
      <c r="B107" s="448">
        <f ca="1">MIN(C$45,4/18*(Scenarios!D$68*COS(C$44))^3/C$46^2*rho*Scenarios!D$20*(A107*MeanWindAngle!E$2)^2)</f>
        <v>34020.000000000007</v>
      </c>
      <c r="C107" s="109">
        <f ca="1">C$46/(Scenarios!D$68*COS(C$44))^1.5*(B107)/SQRT(0.5*rho*Scenarios!D$20*E107)</f>
        <v>7.5602731744469969</v>
      </c>
      <c r="D107" s="109">
        <f ca="1">MAX(0,B107*(A107*MeanWindAngle!E$2-C107))*(A107&gt;C$71)*(A107&gt;Scenarios!D$96)</f>
        <v>499826.58018200385</v>
      </c>
      <c r="E107" s="109">
        <f ca="1">SQRT(B107^2+MeanWindAngle!C$5^2+2*MeanWindAngle!C$5*B107*MeanWindAngle!F$2)</f>
        <v>35929.894844452967</v>
      </c>
      <c r="F107" s="15">
        <f t="shared" ca="1" si="2"/>
        <v>150000</v>
      </c>
      <c r="G107" s="104">
        <f t="shared" ca="1" si="23"/>
        <v>6.9803235322690123</v>
      </c>
      <c r="H107" s="104">
        <f t="shared" ca="1" si="11"/>
        <v>1</v>
      </c>
      <c r="I107" s="104">
        <f t="shared" ca="1" si="21"/>
        <v>1</v>
      </c>
      <c r="J107" s="104">
        <f ca="1">MAX(0,G107+MeanWindAngle!AL64)</f>
        <v>12.329466119133119</v>
      </c>
      <c r="K107" s="104">
        <f t="shared" ca="1" si="3"/>
        <v>1.6311809454049051</v>
      </c>
      <c r="L107" s="111">
        <f ca="1">MAX(0,MeanWindAngle!AM64)</f>
        <v>206766.37826513639</v>
      </c>
      <c r="M107" s="109">
        <f ca="1">2*L106*AG106/Scenarios!D$23/1000-L105*AG105/Scenarios!D$23/1000-1</f>
        <v>-1.9407102775965024E-2</v>
      </c>
      <c r="N107" s="110">
        <f ca="1">MeanWindAngle!AG64</f>
        <v>47.572580166099975</v>
      </c>
      <c r="O107" s="110">
        <f t="shared" ca="1" si="12"/>
        <v>46.967996052500958</v>
      </c>
      <c r="P107" s="109">
        <f ca="1">Scenarios!D$95*PI()*SIN(Scenarios!D$84)*G107/O107</f>
        <v>9.7073861192382177E-2</v>
      </c>
      <c r="Q107" s="103">
        <f t="shared" ca="1" si="4"/>
        <v>833.48857504911859</v>
      </c>
      <c r="R107" s="110">
        <f t="shared" ca="1" si="13"/>
        <v>0.83712908448887335</v>
      </c>
      <c r="S107" s="103">
        <f ca="1">MIN(Scenarios!D$88,Scenarios!D$87*A107)*(Scenarios!D$86="Y")+Scenarios!D$88*(Scenarios!D$86&lt;&gt;"Y")</f>
        <v>30</v>
      </c>
      <c r="T107" s="103">
        <f ca="1">MAX(1,(C$39-C$38)*(1/S107+1/(-0.0000001+G107))+G107/Scenarios!D$94+S107/Scenarios!D$94)</f>
        <v>23.654333872625948</v>
      </c>
      <c r="U107" s="103">
        <f t="shared" ca="1" si="5"/>
        <v>17.689394018836477</v>
      </c>
      <c r="V107" s="103">
        <f t="shared" ca="1" si="6"/>
        <v>5.9649398537894704</v>
      </c>
      <c r="W107" s="104">
        <f t="shared" ca="1" si="14"/>
        <v>0.74782890192243068</v>
      </c>
      <c r="X107" s="104">
        <f t="shared" ca="1" si="15"/>
        <v>0</v>
      </c>
      <c r="Y107" s="104">
        <f ca="1">T107/(C$40*C$38/(G107+0.00001)+(T107-C$40*C$38/(G107+0.0001))/Scenarios!D$54)</f>
        <v>0.99999035819896298</v>
      </c>
      <c r="Z107" s="104">
        <f ca="1">MeanWindAngle!AN64</f>
        <v>0.89616085012634783</v>
      </c>
      <c r="AA107" s="104"/>
      <c r="AB107" s="1918">
        <f ca="1">Scenarios!$D$71+((2*9.81*Mp_t/rho/(S107+A107)^2/wing_area)-Scenarios!$D$69)^2/PI()/A/Scenarios!$D$70</f>
        <v>6.8373535460894377E-2</v>
      </c>
      <c r="AC107" s="1885">
        <f ca="1">MAX(0,(B107-AB107*0.5*rho*(S107+A107)^2*wing_area/Scenarios!D$54/C$30/C$31^2/(MeanWindAngle!AN64+0.0000001))/B107)</f>
        <v>0.95122438269446663</v>
      </c>
      <c r="AD107" s="111">
        <f t="shared" ca="1" si="7"/>
        <v>821.56705425045664</v>
      </c>
      <c r="AE107" s="111">
        <f ca="1">W107*Y107*Z107*Scenarios!D$55*AC107</f>
        <v>0.63748063940359323</v>
      </c>
      <c r="AF107" s="111">
        <f t="shared" ca="1" si="16"/>
        <v>550.58837912981755</v>
      </c>
      <c r="AG107" s="1918">
        <f ca="1">W107*Y107*Scenarios!D$55*AC107</f>
        <v>0.71134622686732663</v>
      </c>
      <c r="AH107" s="104">
        <f t="shared" ca="1" si="8"/>
        <v>0.71135308559224497</v>
      </c>
      <c r="AI107" s="109">
        <f t="shared" ca="1" si="9"/>
        <v>9.6744633582963625E-3</v>
      </c>
      <c r="AJ107" s="1961">
        <f t="shared" ca="1" si="17"/>
        <v>147082.48302192718</v>
      </c>
      <c r="AK107" s="664">
        <f t="shared" ca="1" si="10"/>
        <v>147083.90117563808</v>
      </c>
      <c r="AL107" s="103">
        <f t="shared" ca="1" si="22"/>
        <v>0</v>
      </c>
      <c r="AM107" s="29">
        <f ca="1">$A107/Scenarios!$D$17^2*EXP(-0.5*($A107/Scenarios!$D$17)^2)</f>
        <v>5.8721763323969882E-3</v>
      </c>
      <c r="AN107" s="29"/>
      <c r="AO107" s="109"/>
      <c r="AP107" s="111">
        <f t="shared" ca="1" si="18"/>
        <v>62870.524658723349</v>
      </c>
      <c r="AQ107" s="103">
        <f t="shared" ca="1" si="19"/>
        <v>0</v>
      </c>
      <c r="AR107" s="103">
        <f t="shared" ca="1" si="20"/>
        <v>0</v>
      </c>
      <c r="AT107" s="1842"/>
    </row>
    <row r="108" spans="1:46" x14ac:dyDescent="0.3">
      <c r="A108" s="105">
        <v>25</v>
      </c>
      <c r="B108" s="448">
        <f ca="1">MIN(C$45,4/18*(Scenarios!D$68*COS(C$44))^3/C$46^2*rho*Scenarios!D$20*(A108*MeanWindAngle!E$2)^2)</f>
        <v>34020.000000000007</v>
      </c>
      <c r="C108" s="109">
        <f ca="1">C$46/(Scenarios!D$68*COS(C$44))^1.5*(B108)/SQRT(0.5*rho*Scenarios!D$20*E108)</f>
        <v>7.5602731744469969</v>
      </c>
      <c r="D108" s="109">
        <f ca="1">MAX(0,B108*(A108*MeanWindAngle!E$2-C108))*(A108&gt;C$71)*(A108&gt;Scenarios!D$96)</f>
        <v>531369.37491436594</v>
      </c>
      <c r="E108" s="109">
        <f ca="1">SQRT(B108^2+MeanWindAngle!C$5^2+2*MeanWindAngle!C$5*B108*MeanWindAngle!F$2)</f>
        <v>35929.894844452967</v>
      </c>
      <c r="F108" s="15">
        <f t="shared" ca="1" si="2"/>
        <v>150000</v>
      </c>
      <c r="G108" s="1922">
        <f ca="1">D108/B108*(H108=1)*(H107=0)/(1+M108+0.0000001)+(H107=1)*G107+D108/B108*(H108=0)</f>
        <v>6.9803235322690123</v>
      </c>
      <c r="H108" s="112">
        <f t="shared" ca="1" si="11"/>
        <v>1</v>
      </c>
      <c r="I108" s="112">
        <f t="shared" ca="1" si="21"/>
        <v>1</v>
      </c>
      <c r="J108" s="112">
        <f ca="1">MAX(0,G108+MeanWindAngle!AL65)</f>
        <v>12.329466119133119</v>
      </c>
      <c r="K108" s="112">
        <f t="shared" ca="1" si="3"/>
        <v>1.6311809454049051</v>
      </c>
      <c r="L108" s="111">
        <f ca="1">MAX(0,MeanWindAngle!AM65)</f>
        <v>206766.37826513639</v>
      </c>
      <c r="M108" s="109">
        <f ca="1">2*L107*AG107/Scenarios!D$23/1000-L106*AG106/Scenarios!D$23/1000-1</f>
        <v>-2.151600074446347E-2</v>
      </c>
      <c r="N108" s="1921">
        <f ca="1">MeanWindAngle!AG65</f>
        <v>47.572580166099975</v>
      </c>
      <c r="O108" s="110">
        <f t="shared" ca="1" si="12"/>
        <v>46.967996052500958</v>
      </c>
      <c r="P108" s="109">
        <f ca="1">Scenarios!D$95*PI()*SIN(Scenarios!D$84)*G108/O108</f>
        <v>9.7073861192382177E-2</v>
      </c>
      <c r="Q108" s="113">
        <f t="shared" ca="1" si="4"/>
        <v>833.48857504911859</v>
      </c>
      <c r="R108" s="110">
        <f t="shared" ca="1" si="13"/>
        <v>0.83712908448887335</v>
      </c>
      <c r="S108" s="103">
        <f ca="1">MIN(Scenarios!D$88,Scenarios!D$87*A108)*(Scenarios!D$86="Y")+Scenarios!D$88*(Scenarios!D$86&lt;&gt;"Y")</f>
        <v>30</v>
      </c>
      <c r="T108" s="103">
        <f ca="1">MAX(1,(C$39-C$38)*(1/S108+1/(-0.0000001+G108))+G108/Scenarios!D$94+S108/Scenarios!D$94)</f>
        <v>23.654333872625948</v>
      </c>
      <c r="U108" s="103">
        <f t="shared" ca="1" si="5"/>
        <v>17.689394018836477</v>
      </c>
      <c r="V108" s="103">
        <f t="shared" ca="1" si="6"/>
        <v>5.9649398537894704</v>
      </c>
      <c r="W108" s="104">
        <f t="shared" ca="1" si="14"/>
        <v>0.74782890192243068</v>
      </c>
      <c r="X108" s="104">
        <f t="shared" ca="1" si="15"/>
        <v>0</v>
      </c>
      <c r="Y108" s="104">
        <f ca="1">T108/(C$40*C$38/(G108+0.00001)+(T108-C$40*C$38/(G108+0.0001))/Scenarios!D$54)</f>
        <v>0.99999035819896298</v>
      </c>
      <c r="Z108" s="104">
        <f ca="1">MeanWindAngle!AN65</f>
        <v>0.89616085012634783</v>
      </c>
      <c r="AA108" s="104"/>
      <c r="AB108" s="1918">
        <f ca="1">Scenarios!$D$71+((2*9.81*Mp_t/rho/(S108+A108)^2/wing_area)-Scenarios!$D$69)^2/PI()/A/Scenarios!$D$70</f>
        <v>6.8674011366536059E-2</v>
      </c>
      <c r="AC108" s="1885">
        <f ca="1">MAX(0,(B108-AB108*0.5*rho*(S108+A108)^2*wing_area/Scenarios!D$54/C$30/C$31^2/(MeanWindAngle!AN65+0.0000001))/B108)</f>
        <v>0.94917878859851579</v>
      </c>
      <c r="AD108" s="111">
        <f t="shared" ca="1" si="7"/>
        <v>603.68185106274836</v>
      </c>
      <c r="AE108" s="111">
        <f ca="1">W108*Y108*Z108*Scenarios!D$55*AC108</f>
        <v>0.63610974663005737</v>
      </c>
      <c r="AF108" s="111">
        <f t="shared" ca="1" si="16"/>
        <v>404.56857436909797</v>
      </c>
      <c r="AG108" s="1918">
        <f ca="1">W108*Y108*Scenarios!D$55*AC108</f>
        <v>0.70981648723036006</v>
      </c>
      <c r="AH108" s="104">
        <f t="shared" ca="1" si="8"/>
        <v>0.70982333120569108</v>
      </c>
      <c r="AI108" s="109">
        <f t="shared" ca="1" si="9"/>
        <v>7.108729491962628E-3</v>
      </c>
      <c r="AJ108" s="1961">
        <f t="shared" ca="1" si="17"/>
        <v>146766.18429750297</v>
      </c>
      <c r="AK108" s="664">
        <f t="shared" ca="1" si="10"/>
        <v>146767.5994014951</v>
      </c>
      <c r="AL108" s="103">
        <f t="shared" ca="1" si="22"/>
        <v>0</v>
      </c>
      <c r="AM108" s="29">
        <f ca="1">$A108/Scenarios!$D$17^2*EXP(-0.5*($A108/Scenarios!$D$17)^2)</f>
        <v>4.333453011022277E-3</v>
      </c>
      <c r="AN108" s="29"/>
      <c r="AO108" s="109"/>
      <c r="AP108" s="114">
        <f t="shared" ca="1" si="18"/>
        <v>63506.529021983617</v>
      </c>
      <c r="AQ108" s="103">
        <f t="shared" ca="1" si="19"/>
        <v>0</v>
      </c>
      <c r="AR108" s="103">
        <f t="shared" ca="1" si="20"/>
        <v>0</v>
      </c>
      <c r="AT108" s="1842"/>
    </row>
    <row r="109" spans="1:46" x14ac:dyDescent="0.3">
      <c r="A109" s="59"/>
      <c r="B109" s="30"/>
      <c r="D109" s="29"/>
      <c r="E109" s="29"/>
      <c r="F109" s="109"/>
      <c r="G109" s="104"/>
      <c r="H109" s="29"/>
      <c r="I109" s="29"/>
      <c r="J109" s="29"/>
      <c r="K109" s="104"/>
      <c r="L109" s="29"/>
      <c r="M109" s="29"/>
      <c r="N109" s="29"/>
      <c r="O109" s="29"/>
      <c r="P109" s="29"/>
      <c r="Q109" s="103"/>
      <c r="R109" s="103"/>
      <c r="S109" s="103"/>
      <c r="T109" s="103"/>
      <c r="U109" s="103"/>
      <c r="V109" s="103"/>
      <c r="W109" s="1980">
        <f ca="1">SUM(X83:X108)</f>
        <v>0.74782890192243068</v>
      </c>
      <c r="X109" s="1948"/>
      <c r="Y109" s="29"/>
      <c r="Z109" s="116">
        <f ca="1">MeanWindAngle!AN66</f>
        <v>0.86834814565704188</v>
      </c>
      <c r="AA109" s="29"/>
      <c r="AB109" s="104"/>
      <c r="AC109" s="1919">
        <f ca="1">SUM(AD83:AD108)/AP108</f>
        <v>0.95980111937788204</v>
      </c>
      <c r="AE109" s="1919">
        <f ca="1">SUM(AF83:AF108)/AP108</f>
        <v>0.65878749417097038</v>
      </c>
      <c r="AG109" s="29"/>
      <c r="AH109" s="116">
        <f ca="1">SUM(AI83:AI108)</f>
        <v>0.7642072222207893</v>
      </c>
      <c r="AJ109" s="109"/>
      <c r="AK109" s="664"/>
      <c r="AL109" s="115">
        <f ca="1">SUM(AL83:AL108)</f>
        <v>15.539326163190678</v>
      </c>
      <c r="AM109" s="109"/>
      <c r="AN109" s="109"/>
      <c r="AO109" s="109"/>
      <c r="AP109" s="29"/>
      <c r="AQ109" s="116">
        <f ca="1">SUM(AQ83:AQ108)</f>
        <v>15.962943287671695</v>
      </c>
      <c r="AR109" s="116">
        <f ca="1">SUM(AR83:AR108)</f>
        <v>8.4611657288917712</v>
      </c>
      <c r="AT109" s="1842"/>
    </row>
    <row r="110" spans="1:46" x14ac:dyDescent="0.3">
      <c r="F110" s="47"/>
      <c r="K110" s="18"/>
      <c r="R110" s="20"/>
      <c r="S110" s="20"/>
      <c r="V110" s="20"/>
      <c r="W110" s="89" t="s">
        <v>1745</v>
      </c>
      <c r="Z110" s="89" t="s">
        <v>1728</v>
      </c>
      <c r="AB110" s="104"/>
      <c r="AC110" s="117" t="s">
        <v>151</v>
      </c>
      <c r="AE110" s="117" t="s">
        <v>151</v>
      </c>
      <c r="AH110" s="117" t="s">
        <v>151</v>
      </c>
      <c r="AJ110" s="15"/>
      <c r="AK110" s="661"/>
      <c r="AL110" s="15"/>
      <c r="AM110" s="96"/>
      <c r="AN110" s="96"/>
      <c r="AO110" s="96"/>
      <c r="AP110"/>
      <c r="AR110" s="89"/>
      <c r="AT110" s="1842"/>
    </row>
    <row r="111" spans="1:46" x14ac:dyDescent="0.3">
      <c r="A111" s="59"/>
      <c r="D111" s="96"/>
      <c r="E111" s="96"/>
      <c r="F111" s="47"/>
      <c r="G111" s="47" t="s">
        <v>1758</v>
      </c>
      <c r="H111" s="96"/>
      <c r="I111" s="96"/>
      <c r="J111" s="96"/>
      <c r="K111" s="18"/>
      <c r="L111" s="96"/>
      <c r="M111" s="96"/>
      <c r="N111" s="96"/>
      <c r="P111" s="96"/>
      <c r="Q111" s="96"/>
      <c r="R111" s="20"/>
      <c r="S111" s="20"/>
      <c r="T111" s="96"/>
      <c r="U111" s="96"/>
      <c r="V111" s="20"/>
      <c r="W111" t="s">
        <v>1759</v>
      </c>
      <c r="X111" s="96"/>
      <c r="Y111" s="96"/>
      <c r="Z111" s="96"/>
      <c r="AA111" s="96"/>
      <c r="AB111" s="104"/>
      <c r="AC111" s="118"/>
      <c r="AG111" s="96"/>
      <c r="AH111" s="96"/>
      <c r="AI111" s="96"/>
      <c r="AJ111" s="15"/>
      <c r="AK111" s="661"/>
      <c r="AL111" s="15"/>
      <c r="AM111"/>
      <c r="AN111"/>
      <c r="AO111"/>
      <c r="AP111"/>
      <c r="AT111" s="1842"/>
    </row>
    <row r="112" spans="1:46" x14ac:dyDescent="0.3">
      <c r="F112" s="47"/>
      <c r="G112" s="15" t="e">
        <f t="shared" ref="G112:G137" si="24">D83/B83</f>
        <v>#DIV/0!</v>
      </c>
      <c r="K112" s="18"/>
      <c r="W112">
        <v>0</v>
      </c>
      <c r="X112" s="18">
        <f ca="1">W83-W112</f>
        <v>0</v>
      </c>
      <c r="AI112" t="s">
        <v>1739</v>
      </c>
      <c r="AJ112" s="15">
        <v>700000000</v>
      </c>
      <c r="AL112" s="15"/>
      <c r="AM112"/>
      <c r="AN112"/>
      <c r="AO112"/>
      <c r="AP112"/>
    </row>
    <row r="113" spans="3:39" x14ac:dyDescent="0.3">
      <c r="C113" s="105"/>
      <c r="G113">
        <f t="shared" ca="1" si="24"/>
        <v>0</v>
      </c>
      <c r="W113">
        <v>0</v>
      </c>
      <c r="X113" s="18">
        <f t="shared" ref="X113:X137" ca="1" si="25">W84-W113</f>
        <v>0</v>
      </c>
      <c r="AI113" t="s">
        <v>1743</v>
      </c>
      <c r="AJ113">
        <v>1.2</v>
      </c>
    </row>
    <row r="114" spans="3:39" x14ac:dyDescent="0.3">
      <c r="G114">
        <f t="shared" ca="1" si="24"/>
        <v>0</v>
      </c>
      <c r="W114">
        <v>0</v>
      </c>
      <c r="X114" s="18">
        <f t="shared" ca="1" si="25"/>
        <v>0</v>
      </c>
      <c r="AI114" t="s">
        <v>72</v>
      </c>
      <c r="AJ114">
        <v>4000</v>
      </c>
    </row>
    <row r="115" spans="3:39" x14ac:dyDescent="0.3">
      <c r="C115" s="105"/>
      <c r="G115">
        <f t="shared" ca="1" si="24"/>
        <v>1.6797390763247373</v>
      </c>
      <c r="W115">
        <v>0</v>
      </c>
      <c r="X115" s="18">
        <f t="shared" ca="1" si="25"/>
        <v>0.92804048683786977</v>
      </c>
      <c r="AI115" t="s">
        <v>1740</v>
      </c>
      <c r="AJ115" s="47">
        <v>2.5</v>
      </c>
    </row>
    <row r="116" spans="3:39" x14ac:dyDescent="0.3">
      <c r="G116">
        <f t="shared" ca="1" si="24"/>
        <v>1.9195237696572085</v>
      </c>
      <c r="W116">
        <v>0</v>
      </c>
      <c r="X116" s="18">
        <f t="shared" ca="1" si="25"/>
        <v>0.91844705817017736</v>
      </c>
      <c r="AI116" t="s">
        <v>1741</v>
      </c>
      <c r="AJ116" s="47">
        <v>30</v>
      </c>
    </row>
    <row r="117" spans="3:39" x14ac:dyDescent="0.3">
      <c r="C117" s="105"/>
      <c r="G117">
        <f t="shared" ca="1" si="24"/>
        <v>2.1283323850530591</v>
      </c>
      <c r="W117">
        <v>0.91457673291855712</v>
      </c>
      <c r="X117" s="18">
        <f t="shared" ca="1" si="25"/>
        <v>-4.3551022979647636E-3</v>
      </c>
      <c r="AI117" s="29" t="s">
        <v>1742</v>
      </c>
      <c r="AJ117">
        <v>2.7</v>
      </c>
      <c r="AK117" t="s">
        <v>1744</v>
      </c>
      <c r="AL117" s="18">
        <f ca="1">C45</f>
        <v>34020.000000000007</v>
      </c>
      <c r="AM117" s="15">
        <f ca="1">Tmax_t</f>
        <v>42.000000000000007</v>
      </c>
    </row>
    <row r="118" spans="3:39" x14ac:dyDescent="0.3">
      <c r="G118">
        <f t="shared" ca="1" si="24"/>
        <v>2.3442237202007261</v>
      </c>
      <c r="W118">
        <v>0.89737043110522841</v>
      </c>
      <c r="X118" s="18">
        <f t="shared" ca="1" si="25"/>
        <v>4.4700606915326624E-3</v>
      </c>
      <c r="AK118" t="s">
        <v>72</v>
      </c>
      <c r="AL118">
        <f ca="1">Mp</f>
        <v>436.56955251936</v>
      </c>
    </row>
    <row r="119" spans="3:39" x14ac:dyDescent="0.3">
      <c r="C119" s="105"/>
      <c r="G119">
        <f t="shared" ca="1" si="24"/>
        <v>2.5776049530111704</v>
      </c>
      <c r="W119">
        <v>0.88045516825811521</v>
      </c>
      <c r="X119" s="18">
        <f t="shared" ca="1" si="25"/>
        <v>1.2463249496894702E-2</v>
      </c>
    </row>
    <row r="120" spans="3:39" x14ac:dyDescent="0.3">
      <c r="G120" s="15">
        <f t="shared" ca="1" si="24"/>
        <v>2.8276259139733413</v>
      </c>
      <c r="W120">
        <v>0.86399089894478098</v>
      </c>
      <c r="X120" s="18">
        <f t="shared" ca="1" si="25"/>
        <v>1.9524920068492602E-2</v>
      </c>
    </row>
    <row r="121" spans="3:39" x14ac:dyDescent="0.3">
      <c r="C121" s="105"/>
      <c r="G121" s="15">
        <f t="shared" ca="1" si="24"/>
        <v>3.0907770802643819</v>
      </c>
      <c r="W121">
        <v>0.8446182590756065</v>
      </c>
      <c r="X121" s="18">
        <f t="shared" ca="1" si="25"/>
        <v>2.9170967561437999E-2</v>
      </c>
    </row>
    <row r="122" spans="3:39" x14ac:dyDescent="0.3">
      <c r="G122">
        <f t="shared" ca="1" si="24"/>
        <v>3.3637326578441198</v>
      </c>
      <c r="W122">
        <v>0.80164978883824056</v>
      </c>
      <c r="X122" s="18">
        <f t="shared" ca="1" si="25"/>
        <v>6.2229953209955724E-2</v>
      </c>
    </row>
    <row r="123" spans="3:39" x14ac:dyDescent="0.3">
      <c r="G123">
        <f t="shared" ca="1" si="24"/>
        <v>3.6439346448404573</v>
      </c>
      <c r="W123">
        <v>0.76275851302417041</v>
      </c>
      <c r="X123" s="18">
        <f t="shared" ca="1" si="25"/>
        <v>9.113400578884534E-2</v>
      </c>
    </row>
    <row r="124" spans="3:39" x14ac:dyDescent="0.3">
      <c r="G124">
        <f t="shared" ca="1" si="24"/>
        <v>3.9295323833330933</v>
      </c>
      <c r="W124">
        <v>0.72739036633038556</v>
      </c>
      <c r="X124" s="18">
        <f t="shared" ca="1" si="25"/>
        <v>0.11651087452854192</v>
      </c>
    </row>
    <row r="125" spans="3:39" x14ac:dyDescent="0.3">
      <c r="G125" s="15">
        <f ca="1">D96/B96</f>
        <v>4.4931169349212405</v>
      </c>
      <c r="W125">
        <v>0.69508759120837171</v>
      </c>
      <c r="X125" s="18">
        <f t="shared" ca="1" si="25"/>
        <v>0.1296359824497002</v>
      </c>
    </row>
    <row r="126" spans="3:39" x14ac:dyDescent="0.3">
      <c r="G126" s="15">
        <f ca="1">D97/B97</f>
        <v>5.4203007894880271</v>
      </c>
      <c r="W126">
        <v>0.66546843898696928</v>
      </c>
      <c r="X126" s="18">
        <f t="shared" ca="1" si="25"/>
        <v>0.12917948566317894</v>
      </c>
    </row>
    <row r="127" spans="3:39" x14ac:dyDescent="0.3">
      <c r="G127">
        <f t="shared" ca="1" si="24"/>
        <v>6.3474846440548136</v>
      </c>
      <c r="W127">
        <v>0.6382122826951736</v>
      </c>
      <c r="X127" s="18">
        <f t="shared" ca="1" si="25"/>
        <v>0.1280673591796514</v>
      </c>
    </row>
    <row r="128" spans="3:39" x14ac:dyDescent="0.3">
      <c r="G128">
        <f t="shared" ca="1" si="24"/>
        <v>7.2746684986216019</v>
      </c>
      <c r="W128">
        <v>0.61304693457409021</v>
      </c>
      <c r="X128" s="18">
        <f t="shared" ca="1" si="25"/>
        <v>0.13478196734834047</v>
      </c>
    </row>
    <row r="129" spans="7:24" x14ac:dyDescent="0.3">
      <c r="G129">
        <f t="shared" ca="1" si="24"/>
        <v>8.2018523531883893</v>
      </c>
      <c r="W129">
        <v>0.5897410617084462</v>
      </c>
      <c r="X129" s="18">
        <f t="shared" ca="1" si="25"/>
        <v>0.15808784021398448</v>
      </c>
    </row>
    <row r="130" spans="7:24" x14ac:dyDescent="0.3">
      <c r="G130">
        <f t="shared" ca="1" si="24"/>
        <v>9.1290362077551777</v>
      </c>
      <c r="W130">
        <v>0.56809600038107322</v>
      </c>
      <c r="X130" s="18">
        <f t="shared" ca="1" si="25"/>
        <v>0.17973290154135746</v>
      </c>
    </row>
    <row r="131" spans="7:24" x14ac:dyDescent="0.3">
      <c r="G131">
        <f t="shared" ca="1" si="24"/>
        <v>10.056220062321962</v>
      </c>
      <c r="W131">
        <v>0.54794066003550768</v>
      </c>
      <c r="X131" s="18">
        <f t="shared" ca="1" si="25"/>
        <v>0.199888241886923</v>
      </c>
    </row>
    <row r="132" spans="7:24" x14ac:dyDescent="0.3">
      <c r="G132">
        <f t="shared" ca="1" si="24"/>
        <v>10.983403916888751</v>
      </c>
      <c r="W132">
        <v>0.52912628525433947</v>
      </c>
      <c r="X132" s="18">
        <f t="shared" ca="1" si="25"/>
        <v>0.21870261666809121</v>
      </c>
    </row>
    <row r="133" spans="7:24" x14ac:dyDescent="0.3">
      <c r="G133">
        <f t="shared" ca="1" si="24"/>
        <v>11.910587771455539</v>
      </c>
      <c r="W133">
        <v>0.51152356693156975</v>
      </c>
      <c r="X133" s="18">
        <f t="shared" ca="1" si="25"/>
        <v>0.23630533499086093</v>
      </c>
    </row>
    <row r="134" spans="7:24" x14ac:dyDescent="0.3">
      <c r="G134">
        <f t="shared" ca="1" si="24"/>
        <v>12.837771626022324</v>
      </c>
      <c r="W134">
        <v>0.49501922570207069</v>
      </c>
      <c r="X134" s="18">
        <f t="shared" ca="1" si="25"/>
        <v>0.25280967622035999</v>
      </c>
    </row>
    <row r="135" spans="7:24" x14ac:dyDescent="0.3">
      <c r="G135">
        <f t="shared" ca="1" si="24"/>
        <v>13.764955480589112</v>
      </c>
      <c r="W135">
        <v>0.47951367588528171</v>
      </c>
      <c r="X135" s="18">
        <f t="shared" ca="1" si="25"/>
        <v>0.26831522603714897</v>
      </c>
    </row>
    <row r="136" spans="7:24" x14ac:dyDescent="0.3">
      <c r="G136">
        <f t="shared" ca="1" si="24"/>
        <v>14.6921393351559</v>
      </c>
      <c r="W136">
        <v>0.46491901743221997</v>
      </c>
      <c r="X136" s="18">
        <f t="shared" ca="1" si="25"/>
        <v>0.28290988449021071</v>
      </c>
    </row>
    <row r="137" spans="7:24" x14ac:dyDescent="0.3">
      <c r="G137" s="15">
        <f t="shared" ca="1" si="24"/>
        <v>15.619323189722687</v>
      </c>
      <c r="W137">
        <v>0.45115736880379287</v>
      </c>
      <c r="X137" s="18">
        <f t="shared" ca="1" si="25"/>
        <v>0.29667153311863781</v>
      </c>
    </row>
    <row r="158" spans="6:7" x14ac:dyDescent="0.3">
      <c r="F158" s="108">
        <v>1E-4</v>
      </c>
      <c r="G158" s="104">
        <v>0</v>
      </c>
    </row>
    <row r="159" spans="6:7" x14ac:dyDescent="0.3">
      <c r="F159">
        <v>1</v>
      </c>
      <c r="G159" s="104">
        <v>0</v>
      </c>
    </row>
    <row r="160" spans="6:7" x14ac:dyDescent="0.3">
      <c r="F160" s="105">
        <v>2</v>
      </c>
      <c r="G160" s="104">
        <v>0</v>
      </c>
    </row>
    <row r="161" spans="6:7" x14ac:dyDescent="0.3">
      <c r="F161" s="105">
        <v>3</v>
      </c>
      <c r="G161" s="104">
        <v>0</v>
      </c>
    </row>
    <row r="162" spans="6:7" x14ac:dyDescent="0.3">
      <c r="F162">
        <v>4</v>
      </c>
      <c r="G162" s="104">
        <v>0</v>
      </c>
    </row>
    <row r="163" spans="6:7" x14ac:dyDescent="0.3">
      <c r="F163" s="105">
        <v>5</v>
      </c>
      <c r="G163" s="104">
        <v>8.8543869323056301E-2</v>
      </c>
    </row>
    <row r="164" spans="6:7" x14ac:dyDescent="0.3">
      <c r="F164">
        <v>6</v>
      </c>
      <c r="G164" s="104">
        <v>0.28452882974284033</v>
      </c>
    </row>
    <row r="165" spans="6:7" x14ac:dyDescent="0.3">
      <c r="F165" s="105">
        <v>7</v>
      </c>
      <c r="G165" s="104">
        <v>0.50200711628971939</v>
      </c>
    </row>
    <row r="166" spans="6:7" x14ac:dyDescent="0.3">
      <c r="F166">
        <v>8</v>
      </c>
      <c r="G166" s="104">
        <v>0.68600753372198175</v>
      </c>
    </row>
    <row r="167" spans="6:7" x14ac:dyDescent="0.3">
      <c r="F167" s="105">
        <v>9</v>
      </c>
      <c r="G167" s="104">
        <v>0.7740481469918471</v>
      </c>
    </row>
    <row r="168" spans="6:7" x14ac:dyDescent="0.3">
      <c r="F168">
        <v>10</v>
      </c>
      <c r="G168" s="104">
        <v>0.82595821398510094</v>
      </c>
    </row>
    <row r="169" spans="6:7" x14ac:dyDescent="0.3">
      <c r="F169" s="105">
        <v>11</v>
      </c>
      <c r="G169" s="104">
        <v>0.85968429609993391</v>
      </c>
    </row>
    <row r="170" spans="6:7" x14ac:dyDescent="0.3">
      <c r="F170">
        <v>12</v>
      </c>
      <c r="G170" s="104">
        <v>0.87906669577779362</v>
      </c>
    </row>
    <row r="171" spans="6:7" x14ac:dyDescent="0.3">
      <c r="F171" s="105">
        <v>13</v>
      </c>
      <c r="G171" s="104">
        <v>0.88564299574097194</v>
      </c>
    </row>
    <row r="172" spans="6:7" x14ac:dyDescent="0.3">
      <c r="F172">
        <v>14</v>
      </c>
      <c r="G172" s="104">
        <v>0.88895336459760865</v>
      </c>
    </row>
    <row r="173" spans="6:7" x14ac:dyDescent="0.3">
      <c r="F173" s="105">
        <v>15</v>
      </c>
      <c r="G173" s="104">
        <v>0.89321095433959818</v>
      </c>
    </row>
    <row r="174" spans="6:7" x14ac:dyDescent="0.3">
      <c r="F174">
        <v>16</v>
      </c>
      <c r="G174" s="104">
        <v>0.89582113343559999</v>
      </c>
    </row>
    <row r="175" spans="6:7" x14ac:dyDescent="0.3">
      <c r="F175" s="105">
        <v>17</v>
      </c>
      <c r="G175" s="104">
        <v>0.89582113343559966</v>
      </c>
    </row>
    <row r="176" spans="6:7" x14ac:dyDescent="0.3">
      <c r="F176">
        <v>18</v>
      </c>
      <c r="G176" s="104">
        <v>0.89582113343559966</v>
      </c>
    </row>
    <row r="177" spans="6:7" x14ac:dyDescent="0.3">
      <c r="F177" s="105">
        <v>19</v>
      </c>
      <c r="G177" s="104">
        <v>0.89582113343559966</v>
      </c>
    </row>
    <row r="178" spans="6:7" x14ac:dyDescent="0.3">
      <c r="F178">
        <v>20</v>
      </c>
      <c r="G178" s="104">
        <v>0.89582113343559966</v>
      </c>
    </row>
    <row r="179" spans="6:7" x14ac:dyDescent="0.3">
      <c r="F179" s="105">
        <v>21</v>
      </c>
      <c r="G179" s="104">
        <v>0.89582113343559966</v>
      </c>
    </row>
    <row r="180" spans="6:7" x14ac:dyDescent="0.3">
      <c r="F180">
        <v>22</v>
      </c>
      <c r="G180" s="104">
        <v>0.89582113343559966</v>
      </c>
    </row>
    <row r="181" spans="6:7" x14ac:dyDescent="0.3">
      <c r="F181" s="105">
        <v>23</v>
      </c>
      <c r="G181" s="104">
        <v>0.89582113343559966</v>
      </c>
    </row>
    <row r="182" spans="6:7" x14ac:dyDescent="0.3">
      <c r="F182">
        <v>24</v>
      </c>
      <c r="G182" s="104">
        <v>0.89582113343559966</v>
      </c>
    </row>
    <row r="183" spans="6:7" x14ac:dyDescent="0.3">
      <c r="F183" s="105">
        <v>25</v>
      </c>
      <c r="G183" s="104">
        <v>0.89582113343559966</v>
      </c>
    </row>
  </sheetData>
  <conditionalFormatting sqref="A26">
    <cfRule type="duplicateValues" dxfId="1" priority="28"/>
  </conditionalFormatting>
  <conditionalFormatting sqref="C32 C34 F32:F35">
    <cfRule type="expression" dxfId="0" priority="60">
      <formula>(ABS($C$32-$AC$109)/$AC$109&gt;0.02)</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0421" r:id="rId4" name="Drop Down 5">
              <controlPr defaultSize="0" autoLine="0" autoPict="0">
                <anchor moveWithCells="1">
                  <from>
                    <xdr:col>3</xdr:col>
                    <xdr:colOff>57150</xdr:colOff>
                    <xdr:row>4</xdr:row>
                    <xdr:rowOff>57150</xdr:rowOff>
                  </from>
                  <to>
                    <xdr:col>4</xdr:col>
                    <xdr:colOff>0</xdr:colOff>
                    <xdr:row>4</xdr:row>
                    <xdr:rowOff>238125</xdr:rowOff>
                  </to>
                </anchor>
              </controlPr>
            </control>
          </mc:Choice>
        </mc:AlternateContent>
        <mc:AlternateContent xmlns:mc="http://schemas.openxmlformats.org/markup-compatibility/2006">
          <mc:Choice Requires="x14">
            <control shapeId="60422" r:id="rId5" name="Drop Down 6">
              <controlPr defaultSize="0" autoLine="0" autoPict="0">
                <anchor moveWithCells="1">
                  <from>
                    <xdr:col>3</xdr:col>
                    <xdr:colOff>57150</xdr:colOff>
                    <xdr:row>2</xdr:row>
                    <xdr:rowOff>47625</xdr:rowOff>
                  </from>
                  <to>
                    <xdr:col>3</xdr:col>
                    <xdr:colOff>895350</xdr:colOff>
                    <xdr:row>2</xdr:row>
                    <xdr:rowOff>228600</xdr:rowOff>
                  </to>
                </anchor>
              </controlPr>
            </control>
          </mc:Choice>
        </mc:AlternateContent>
        <mc:AlternateContent xmlns:mc="http://schemas.openxmlformats.org/markup-compatibility/2006">
          <mc:Choice Requires="x14">
            <control shapeId="60423" r:id="rId6" name="Drop Down 7">
              <controlPr defaultSize="0" autoLine="0" autoPict="0">
                <anchor moveWithCells="1">
                  <from>
                    <xdr:col>3</xdr:col>
                    <xdr:colOff>57150</xdr:colOff>
                    <xdr:row>3</xdr:row>
                    <xdr:rowOff>57150</xdr:rowOff>
                  </from>
                  <to>
                    <xdr:col>4</xdr:col>
                    <xdr:colOff>0</xdr:colOff>
                    <xdr:row>3</xdr:row>
                    <xdr:rowOff>228600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1:AH32"/>
  <sheetViews>
    <sheetView showGridLines="0" zoomScale="90" zoomScaleNormal="90" workbookViewId="0">
      <selection activeCell="L105" sqref="L105"/>
    </sheetView>
  </sheetViews>
  <sheetFormatPr defaultColWidth="8.875" defaultRowHeight="15" outlineLevelCol="1" x14ac:dyDescent="0.3"/>
  <cols>
    <col min="1" max="1" width="8.875" style="512"/>
    <col min="2" max="2" width="19.125" style="512" customWidth="1"/>
    <col min="3" max="3" width="8.875" style="512"/>
    <col min="4" max="6" width="8.875" style="512" customWidth="1" outlineLevel="1"/>
    <col min="7" max="7" width="9.875" style="512" customWidth="1" outlineLevel="1"/>
    <col min="8" max="8" width="11.375" style="512" customWidth="1" outlineLevel="1"/>
    <col min="9" max="9" width="9.375" style="512" customWidth="1" outlineLevel="1"/>
    <col min="10" max="11" width="8.875" style="512" customWidth="1" outlineLevel="1"/>
    <col min="12" max="12" width="10.125" style="512" customWidth="1"/>
    <col min="13" max="16384" width="8.875" style="512"/>
  </cols>
  <sheetData>
    <row r="1" spans="1:34" ht="21" x14ac:dyDescent="0.3">
      <c r="A1" s="510" t="s">
        <v>767</v>
      </c>
    </row>
    <row r="2" spans="1:34" ht="15.75" thickBot="1" x14ac:dyDescent="0.35">
      <c r="A2" s="1432" t="s">
        <v>1054</v>
      </c>
      <c r="B2" s="511"/>
      <c r="C2" s="511"/>
      <c r="D2" s="511"/>
      <c r="E2" s="511"/>
      <c r="F2" s="511"/>
      <c r="G2" s="511"/>
      <c r="I2" s="511"/>
      <c r="J2" s="1418" t="s">
        <v>988</v>
      </c>
      <c r="P2" s="1383" t="s">
        <v>1028</v>
      </c>
    </row>
    <row r="3" spans="1:34" s="1149" customFormat="1" ht="12.75" customHeight="1" x14ac:dyDescent="0.3">
      <c r="A3" s="1465"/>
      <c r="B3" s="1346"/>
      <c r="C3" s="1346"/>
      <c r="D3" s="1346"/>
      <c r="E3" s="1346"/>
      <c r="F3" s="1346"/>
      <c r="G3" s="1346"/>
      <c r="H3" s="1346"/>
      <c r="I3" s="1352"/>
      <c r="J3" s="1370" t="s">
        <v>75</v>
      </c>
      <c r="K3" s="1373">
        <f ca="1">Performance!C4</f>
        <v>150</v>
      </c>
      <c r="L3" s="1369" t="s">
        <v>501</v>
      </c>
      <c r="M3" s="1375">
        <f ca="1">N</f>
        <v>30</v>
      </c>
      <c r="N3" s="1365" t="s">
        <v>292</v>
      </c>
      <c r="O3" s="1346">
        <f ca="1">horizon</f>
        <v>25</v>
      </c>
      <c r="P3" s="1470" t="s">
        <v>1060</v>
      </c>
      <c r="Q3" s="1346"/>
      <c r="R3" s="1346"/>
      <c r="S3" s="1346"/>
      <c r="T3" s="1346"/>
      <c r="U3" s="1346"/>
      <c r="V3" s="1346"/>
      <c r="W3" s="1346"/>
      <c r="X3" s="1346"/>
      <c r="Y3" s="1346"/>
      <c r="Z3" s="1346"/>
      <c r="AA3" s="1346"/>
      <c r="AB3" s="1346"/>
      <c r="AC3" s="1346"/>
      <c r="AD3" s="1346"/>
      <c r="AE3" s="1346"/>
      <c r="AF3" s="1346"/>
      <c r="AG3" s="1346"/>
      <c r="AH3" s="1352"/>
    </row>
    <row r="4" spans="1:34" s="1149" customFormat="1" ht="12.75" customHeight="1" x14ac:dyDescent="0.3">
      <c r="A4" s="1466"/>
      <c r="I4" s="1354"/>
      <c r="J4" s="1367" t="s">
        <v>904</v>
      </c>
      <c r="K4" s="1149">
        <f ca="1">Performance!C3</f>
        <v>12</v>
      </c>
      <c r="L4" s="1347" t="s">
        <v>905</v>
      </c>
      <c r="M4" s="1376">
        <f ca="1">Performance!$C$8</f>
        <v>15.539326163190678</v>
      </c>
      <c r="N4" s="1362" t="s">
        <v>1051</v>
      </c>
      <c r="O4" s="1468">
        <f ca="1">LCOE</f>
        <v>97.766902413760249</v>
      </c>
      <c r="P4" s="1471" t="s">
        <v>1061</v>
      </c>
      <c r="AH4" s="1354"/>
    </row>
    <row r="5" spans="1:34" s="1149" customFormat="1" ht="12.75" customHeight="1" x14ac:dyDescent="0.3">
      <c r="A5" s="1466"/>
      <c r="I5" s="1354"/>
      <c r="J5" s="1366" t="s">
        <v>65</v>
      </c>
      <c r="K5" s="1374">
        <f ca="1">Tmax_p</f>
        <v>42.000000000000007</v>
      </c>
      <c r="L5" s="1361" t="s">
        <v>910</v>
      </c>
      <c r="M5" s="1377">
        <f ca="1">Scenarios!D22</f>
        <v>12.5</v>
      </c>
      <c r="N5" s="1362" t="s">
        <v>1052</v>
      </c>
      <c r="O5" s="1469">
        <f ca="1">'LCOE analysis'!D19</f>
        <v>0.40220801713922949</v>
      </c>
      <c r="P5" s="1471" t="s">
        <v>1062</v>
      </c>
      <c r="AH5" s="1354"/>
    </row>
    <row r="6" spans="1:34" s="1149" customFormat="1" ht="12.75" customHeight="1" thickBot="1" x14ac:dyDescent="0.35">
      <c r="A6" s="1467"/>
      <c r="B6" s="1357"/>
      <c r="C6" s="1357"/>
      <c r="D6" s="1357"/>
      <c r="E6" s="1357"/>
      <c r="F6" s="1357"/>
      <c r="G6" s="1357"/>
      <c r="H6" s="1357"/>
      <c r="I6" s="1349"/>
      <c r="J6" s="1371" t="s">
        <v>1053</v>
      </c>
      <c r="K6" s="1372">
        <f ca="1">avg_speed</f>
        <v>10.563903252812876</v>
      </c>
      <c r="L6" s="1348" t="s">
        <v>984</v>
      </c>
      <c r="M6" s="1378">
        <f ca="1">Scenarios!D24</f>
        <v>0.28000000000000003</v>
      </c>
      <c r="N6" s="1364" t="s">
        <v>621</v>
      </c>
      <c r="O6" s="1372">
        <f ca="1">'LCOE analysis'!D18</f>
        <v>15.865899652091185</v>
      </c>
      <c r="P6" s="1472" t="s">
        <v>1063</v>
      </c>
      <c r="Q6" s="1357"/>
      <c r="R6" s="1357"/>
      <c r="S6" s="1357"/>
      <c r="T6" s="1357"/>
      <c r="U6" s="1357"/>
      <c r="V6" s="1357"/>
      <c r="W6" s="1357"/>
      <c r="X6" s="1357"/>
      <c r="Y6" s="1357"/>
      <c r="Z6" s="1357"/>
      <c r="AA6" s="1357"/>
      <c r="AB6" s="1357"/>
      <c r="AC6" s="1357"/>
      <c r="AD6" s="1357"/>
      <c r="AE6" s="1357"/>
      <c r="AF6" s="1357"/>
      <c r="AG6" s="1357"/>
      <c r="AH6" s="1349"/>
    </row>
    <row r="8" spans="1:34" x14ac:dyDescent="0.3">
      <c r="I8" s="1158" t="s">
        <v>994</v>
      </c>
      <c r="J8" s="1158"/>
      <c r="K8" s="1158"/>
      <c r="L8" s="1158"/>
      <c r="M8" s="1159" t="s">
        <v>993</v>
      </c>
      <c r="N8" s="1158"/>
      <c r="O8" s="1158"/>
      <c r="P8" s="1158"/>
      <c r="S8" s="1136">
        <f ca="1">MIN($D$16)</f>
        <v>97.766902413760249</v>
      </c>
    </row>
    <row r="9" spans="1:34" x14ac:dyDescent="0.3">
      <c r="I9" s="1149" t="s">
        <v>798</v>
      </c>
      <c r="J9" s="1149" t="s">
        <v>798</v>
      </c>
      <c r="K9" s="1149" t="s">
        <v>798</v>
      </c>
      <c r="L9" s="1151" t="s">
        <v>796</v>
      </c>
      <c r="M9" s="1149" t="s">
        <v>796</v>
      </c>
      <c r="N9" s="1149" t="s">
        <v>796</v>
      </c>
      <c r="O9" s="1149" t="s">
        <v>796</v>
      </c>
      <c r="P9" s="1149" t="s">
        <v>796</v>
      </c>
      <c r="S9" s="512">
        <f>COUNT($D$11,$D$12,$D$13)</f>
        <v>0</v>
      </c>
    </row>
    <row r="10" spans="1:34" ht="30" x14ac:dyDescent="0.3">
      <c r="A10" s="544" t="s">
        <v>972</v>
      </c>
      <c r="G10" s="1133" t="s">
        <v>977</v>
      </c>
      <c r="I10" s="1150" t="s">
        <v>989</v>
      </c>
      <c r="J10" s="1150" t="s">
        <v>990</v>
      </c>
      <c r="K10" s="1150" t="s">
        <v>992</v>
      </c>
      <c r="L10" s="1152" t="s">
        <v>991</v>
      </c>
      <c r="M10" s="1150" t="s">
        <v>986</v>
      </c>
      <c r="N10" s="1150" t="s">
        <v>987</v>
      </c>
      <c r="O10" s="1149" t="s">
        <v>978</v>
      </c>
      <c r="P10" s="1149" t="s">
        <v>979</v>
      </c>
      <c r="S10" s="512" t="b">
        <f>Solver_P&lt;=5000</f>
        <v>1</v>
      </c>
    </row>
    <row r="11" spans="1:34" x14ac:dyDescent="0.3">
      <c r="A11" s="1124" t="s">
        <v>287</v>
      </c>
      <c r="B11" s="522"/>
      <c r="C11" s="522" t="s">
        <v>51</v>
      </c>
      <c r="D11" s="1123"/>
      <c r="E11" s="552" t="s">
        <v>974</v>
      </c>
      <c r="G11" s="1132">
        <f ca="1">OFFSET(Scenarios!H20,0,scenario_nr)</f>
        <v>12</v>
      </c>
      <c r="I11" s="531">
        <v>80</v>
      </c>
      <c r="J11" s="531">
        <v>200</v>
      </c>
      <c r="K11" s="531">
        <v>300</v>
      </c>
      <c r="L11" s="1153">
        <v>300</v>
      </c>
      <c r="M11" s="531">
        <v>200</v>
      </c>
      <c r="N11" s="531">
        <v>200</v>
      </c>
      <c r="O11" s="531">
        <v>322.00010392270082</v>
      </c>
      <c r="P11" s="531">
        <v>350.00000000000006</v>
      </c>
      <c r="S11" s="512" t="b">
        <f>Solver_P&gt;=150</f>
        <v>0</v>
      </c>
    </row>
    <row r="12" spans="1:34" x14ac:dyDescent="0.3">
      <c r="A12" s="1124" t="s">
        <v>286</v>
      </c>
      <c r="B12" s="522"/>
      <c r="C12" s="522" t="s">
        <v>285</v>
      </c>
      <c r="D12" s="1123"/>
      <c r="E12" s="552" t="s">
        <v>976</v>
      </c>
      <c r="G12" s="1132">
        <f ca="1">OFFSET(Scenarios!H23,0,scenario_nr)</f>
        <v>150</v>
      </c>
      <c r="I12" s="531">
        <v>1000</v>
      </c>
      <c r="J12" s="531">
        <v>3000</v>
      </c>
      <c r="K12" s="531">
        <v>6000</v>
      </c>
      <c r="L12" s="1153">
        <v>8000</v>
      </c>
      <c r="M12" s="531">
        <v>5000</v>
      </c>
      <c r="N12" s="531">
        <v>4874.4659682417414</v>
      </c>
      <c r="O12" s="531">
        <v>8000</v>
      </c>
      <c r="P12" s="531">
        <v>10000</v>
      </c>
      <c r="S12" s="512" t="b">
        <f>Solver_Tmax&gt;=100</f>
        <v>0</v>
      </c>
    </row>
    <row r="13" spans="1:34" x14ac:dyDescent="0.3">
      <c r="A13" s="1124" t="s">
        <v>971</v>
      </c>
      <c r="B13" s="522"/>
      <c r="C13" s="522" t="s">
        <v>284</v>
      </c>
      <c r="D13" s="1123"/>
      <c r="E13" s="552" t="s">
        <v>975</v>
      </c>
      <c r="G13" s="1132">
        <f ca="1">OFFSET(Scenarios!H26,0,scenario_nr)</f>
        <v>42.000000000000007</v>
      </c>
      <c r="I13" s="531">
        <v>232</v>
      </c>
      <c r="J13" s="531">
        <v>669.45981281489458</v>
      </c>
      <c r="K13" s="531">
        <v>1338.9196256297892</v>
      </c>
      <c r="L13" s="1153">
        <v>1872.6990662228668</v>
      </c>
      <c r="M13" s="531">
        <v>1000</v>
      </c>
      <c r="N13" s="531">
        <v>1023.6673252378796</v>
      </c>
      <c r="O13" s="531">
        <v>1656.6486264057642</v>
      </c>
      <c r="P13" s="531">
        <v>1974.340867759963</v>
      </c>
      <c r="S13" s="512" t="b">
        <f>Solver_wingarea&lt;=250</f>
        <v>1</v>
      </c>
    </row>
    <row r="14" spans="1:34" x14ac:dyDescent="0.3">
      <c r="A14" s="543"/>
      <c r="D14" s="522"/>
      <c r="I14" s="522"/>
      <c r="J14" s="522"/>
      <c r="K14" s="522"/>
      <c r="L14" s="1154"/>
      <c r="M14" s="522"/>
      <c r="N14" s="522"/>
      <c r="O14" s="522"/>
      <c r="P14" s="522"/>
      <c r="S14" s="512" t="b">
        <f>Solver_wingarea&gt;=12</f>
        <v>0</v>
      </c>
    </row>
    <row r="15" spans="1:34" x14ac:dyDescent="0.3">
      <c r="A15" s="544" t="s">
        <v>295</v>
      </c>
      <c r="I15" s="522"/>
      <c r="J15" s="522"/>
      <c r="K15" s="522"/>
      <c r="L15" s="1154"/>
      <c r="M15" s="522"/>
      <c r="N15" s="522"/>
      <c r="O15" s="522"/>
      <c r="P15" s="522"/>
      <c r="S15" s="512">
        <f>{20;30;0.5;0.01;FALSE;FALSE;TRUE;1;1;1;0.0001;TRUE}</f>
        <v>20</v>
      </c>
    </row>
    <row r="16" spans="1:34" ht="15.6" customHeight="1" x14ac:dyDescent="0.3">
      <c r="A16" s="1124" t="s">
        <v>751</v>
      </c>
      <c r="C16" s="512" t="s">
        <v>439</v>
      </c>
      <c r="D16" s="1127">
        <f ca="1">Analysis!W65</f>
        <v>97.766902413760249</v>
      </c>
      <c r="I16" s="541">
        <v>87.240216188906771</v>
      </c>
      <c r="J16" s="541">
        <v>29.532314935749568</v>
      </c>
      <c r="K16" s="541">
        <v>16.129434083422275</v>
      </c>
      <c r="L16" s="1155">
        <v>19.687186653033031</v>
      </c>
      <c r="M16" s="541">
        <v>63.865393304974688</v>
      </c>
      <c r="N16" s="541">
        <v>64.206572928711495</v>
      </c>
      <c r="O16" s="541">
        <v>23.753716098983201</v>
      </c>
      <c r="P16" s="541">
        <v>23.145911688004482</v>
      </c>
      <c r="S16" s="512">
        <f>{20;30;1;100;0;FALSE;TRUE;0.075;0;0;FALSE;30}</f>
        <v>20</v>
      </c>
    </row>
    <row r="17" spans="1:17" ht="15.6" customHeight="1" x14ac:dyDescent="0.3">
      <c r="A17" s="1124" t="s">
        <v>734</v>
      </c>
      <c r="C17" s="512" t="s">
        <v>415</v>
      </c>
      <c r="D17" s="1126">
        <f ca="1">Analysis!W69</f>
        <v>0.40220801713922949</v>
      </c>
      <c r="I17" s="542">
        <v>0.38589623579384891</v>
      </c>
      <c r="J17" s="542">
        <v>0.53124169751786821</v>
      </c>
      <c r="K17" s="542">
        <v>0.51526848498683508</v>
      </c>
      <c r="L17" s="1156">
        <v>0.55163302148048443</v>
      </c>
      <c r="M17" s="542">
        <v>0.51781192839249779</v>
      </c>
      <c r="N17" s="542">
        <v>0.52734248508337278</v>
      </c>
      <c r="O17" s="542">
        <v>0.55694076519489588</v>
      </c>
      <c r="P17" s="542">
        <v>0.52367404214990776</v>
      </c>
    </row>
    <row r="18" spans="1:17" ht="15.6" customHeight="1" x14ac:dyDescent="0.3">
      <c r="A18" s="1124" t="s">
        <v>791</v>
      </c>
      <c r="D18" s="1125">
        <f ca="1">Analysis!W68</f>
        <v>0.52886332173637285</v>
      </c>
      <c r="I18" s="531">
        <v>3.3827664029688793</v>
      </c>
      <c r="J18" s="531">
        <v>13.970594161324899</v>
      </c>
      <c r="K18" s="531">
        <v>27.101061236367578</v>
      </c>
      <c r="L18" s="1153">
        <v>38.684920530383408</v>
      </c>
      <c r="M18" s="531">
        <v>22.695696821443178</v>
      </c>
      <c r="N18" s="531">
        <v>22.533116932989977</v>
      </c>
      <c r="O18" s="531">
        <v>39.057141981587655</v>
      </c>
      <c r="P18" s="531">
        <v>45.905266534860907</v>
      </c>
    </row>
    <row r="19" spans="1:17" ht="15.6" customHeight="1" x14ac:dyDescent="0.3">
      <c r="A19" s="1124" t="s">
        <v>980</v>
      </c>
      <c r="D19" s="1125">
        <f ca="1">D16/(D17^0.8)</f>
        <v>202.59619150490249</v>
      </c>
      <c r="I19" s="531">
        <v>186.87030709570175</v>
      </c>
      <c r="J19" s="531">
        <v>48.985073782116764</v>
      </c>
      <c r="K19" s="531">
        <v>27.415253458785728</v>
      </c>
      <c r="L19" s="1153">
        <v>31.685710816866798</v>
      </c>
      <c r="M19" s="531">
        <v>88.752289613236471</v>
      </c>
      <c r="N19" s="531">
        <v>88.41645721196636</v>
      </c>
      <c r="O19" s="531"/>
      <c r="P19" s="531"/>
    </row>
    <row r="20" spans="1:17" x14ac:dyDescent="0.3">
      <c r="A20" s="511"/>
      <c r="I20" s="522"/>
      <c r="J20" s="522"/>
      <c r="K20" s="522"/>
      <c r="L20" s="1154"/>
      <c r="M20" s="522"/>
      <c r="N20" s="522"/>
      <c r="O20" s="522"/>
      <c r="P20" s="522"/>
    </row>
    <row r="21" spans="1:17" x14ac:dyDescent="0.3">
      <c r="A21" s="1124" t="s">
        <v>594</v>
      </c>
      <c r="C21" s="512" t="s">
        <v>528</v>
      </c>
      <c r="D21" s="1128">
        <f ca="1">Analysis!W47</f>
        <v>0.72068254675387011</v>
      </c>
      <c r="I21" s="1135">
        <v>0.68359979316813135</v>
      </c>
      <c r="J21" s="1135">
        <v>0.69558350033097816</v>
      </c>
      <c r="K21" s="1135">
        <v>0.71909590514057831</v>
      </c>
      <c r="L21" s="1157">
        <v>0.72560185379214948</v>
      </c>
      <c r="M21" s="1135">
        <v>0.70878338597157009</v>
      </c>
      <c r="N21" s="1135">
        <v>0.70798498888225359</v>
      </c>
      <c r="O21" s="1135">
        <v>0.7199605127438905</v>
      </c>
      <c r="P21" s="1135">
        <v>0.72134678598999591</v>
      </c>
    </row>
    <row r="22" spans="1:17" x14ac:dyDescent="0.3">
      <c r="A22" s="1124" t="s">
        <v>642</v>
      </c>
      <c r="C22" s="512" t="s">
        <v>973</v>
      </c>
      <c r="D22" s="1127">
        <f ca="1">Analysis!W55</f>
        <v>0.43656955251936003</v>
      </c>
      <c r="I22" s="541">
        <v>3.4849389826079999</v>
      </c>
      <c r="J22" s="541">
        <v>11.432508781706268</v>
      </c>
      <c r="K22" s="541">
        <v>17.02187045540126</v>
      </c>
      <c r="L22" s="1155">
        <v>19.749990065567982</v>
      </c>
      <c r="M22" s="541">
        <v>13.143061955156998</v>
      </c>
      <c r="N22" s="541">
        <v>13.265540914939502</v>
      </c>
      <c r="O22" s="541">
        <v>20.26223093295015</v>
      </c>
      <c r="P22" s="541">
        <v>24.234529754394867</v>
      </c>
    </row>
    <row r="23" spans="1:17" x14ac:dyDescent="0.3">
      <c r="A23" s="1124"/>
      <c r="I23" s="522"/>
      <c r="J23" s="522"/>
      <c r="K23" s="522"/>
      <c r="L23" s="1154"/>
      <c r="M23" s="522"/>
      <c r="N23" s="522"/>
      <c r="O23" s="522"/>
      <c r="P23" s="522"/>
    </row>
    <row r="24" spans="1:17" x14ac:dyDescent="0.3">
      <c r="A24" s="511"/>
      <c r="I24" s="522"/>
      <c r="J24" s="522"/>
      <c r="K24" s="522"/>
      <c r="L24" s="1154"/>
      <c r="M24" s="522"/>
      <c r="N24" s="522"/>
      <c r="O24" s="522"/>
      <c r="P24" s="522"/>
    </row>
    <row r="25" spans="1:17" x14ac:dyDescent="0.3">
      <c r="A25" s="1124" t="s">
        <v>982</v>
      </c>
      <c r="D25" s="1140" t="e">
        <f ca="1">Solver_P/Solver_wingarea/G26</f>
        <v>#DIV/0!</v>
      </c>
      <c r="I25" s="542">
        <v>1</v>
      </c>
      <c r="J25" s="542">
        <v>1</v>
      </c>
      <c r="K25" s="542">
        <v>1</v>
      </c>
      <c r="L25" s="1156">
        <v>0.99999999999999989</v>
      </c>
      <c r="M25" s="542">
        <v>1.6666666666666667</v>
      </c>
      <c r="N25" s="542">
        <v>1.6248219894139138</v>
      </c>
      <c r="O25" s="542">
        <v>1.6563141652319624</v>
      </c>
      <c r="P25" s="542">
        <v>1.9047619047619044</v>
      </c>
    </row>
    <row r="26" spans="1:17" x14ac:dyDescent="0.3">
      <c r="A26" s="1124" t="s">
        <v>910</v>
      </c>
      <c r="D26" s="1143" t="e">
        <f ca="1">D25*$G26</f>
        <v>#DIV/0!</v>
      </c>
      <c r="E26" s="1131"/>
      <c r="F26" s="1131"/>
      <c r="G26" s="1132">
        <f ca="1">Scenarios!D22</f>
        <v>12.5</v>
      </c>
      <c r="I26" s="531">
        <v>12.5</v>
      </c>
      <c r="J26" s="531">
        <v>15</v>
      </c>
      <c r="K26" s="531">
        <v>20</v>
      </c>
      <c r="L26" s="1153">
        <v>26.666666666666668</v>
      </c>
      <c r="M26" s="531">
        <v>25</v>
      </c>
      <c r="N26" s="531">
        <v>24.372329841208707</v>
      </c>
      <c r="O26" s="1138">
        <f ca="1">O25*$G26</f>
        <v>20.70392706539953</v>
      </c>
      <c r="P26" s="1138">
        <f ca="1">P25*$G26</f>
        <v>23.809523809523807</v>
      </c>
      <c r="Q26" s="1141" t="s">
        <v>985</v>
      </c>
    </row>
    <row r="27" spans="1:17" x14ac:dyDescent="0.3">
      <c r="A27" s="1124" t="s">
        <v>983</v>
      </c>
      <c r="D27" s="1140" t="e">
        <f ca="1">Solver_Tmax/Solver_P/G28</f>
        <v>#DIV/0!</v>
      </c>
      <c r="G27" s="1132"/>
      <c r="I27" s="542">
        <v>1</v>
      </c>
      <c r="J27" s="542">
        <v>1</v>
      </c>
      <c r="K27" s="542">
        <v>1</v>
      </c>
      <c r="L27" s="1156">
        <v>1</v>
      </c>
      <c r="M27" s="542">
        <v>0.8</v>
      </c>
      <c r="N27" s="542">
        <v>0.84002418472694729</v>
      </c>
      <c r="O27" s="542">
        <v>0.82832431320288213</v>
      </c>
      <c r="P27" s="542">
        <v>0.78973634710398521</v>
      </c>
    </row>
    <row r="28" spans="1:17" x14ac:dyDescent="0.3">
      <c r="A28" s="657" t="s">
        <v>984</v>
      </c>
      <c r="D28" s="1142" t="e">
        <f ca="1">D27*$G$28</f>
        <v>#DIV/0!</v>
      </c>
      <c r="G28" s="1148">
        <f ca="1">Scenarios!D24</f>
        <v>0.28000000000000003</v>
      </c>
      <c r="I28" s="1135">
        <v>0.23200000000000001</v>
      </c>
      <c r="J28" s="1135">
        <v>0.2231532709382982</v>
      </c>
      <c r="K28" s="1135">
        <v>0.2231532709382982</v>
      </c>
      <c r="L28" s="1157">
        <v>0.23408738327785836</v>
      </c>
      <c r="M28" s="1135">
        <v>0.2</v>
      </c>
      <c r="N28" s="1135">
        <v>0.21000604618173682</v>
      </c>
      <c r="O28" s="1139">
        <f ca="1">O27*$G$28</f>
        <v>0.23193080769680702</v>
      </c>
      <c r="P28" s="1139">
        <f ca="1">P27*$G$28</f>
        <v>0.22112617718911587</v>
      </c>
      <c r="Q28" s="1141" t="s">
        <v>985</v>
      </c>
    </row>
    <row r="29" spans="1:17" x14ac:dyDescent="0.3">
      <c r="A29" s="511"/>
    </row>
    <row r="30" spans="1:17" x14ac:dyDescent="0.3">
      <c r="A30" s="511"/>
    </row>
    <row r="31" spans="1:17" x14ac:dyDescent="0.3">
      <c r="A31" s="511"/>
    </row>
    <row r="32" spans="1:17" x14ac:dyDescent="0.3">
      <c r="A32" s="511"/>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89093" r:id="rId3" name="Button 5">
              <controlPr defaultSize="0" print="0" autoFill="0" autoPict="0">
                <anchor moveWithCells="1" sizeWithCells="1">
                  <from>
                    <xdr:col>4</xdr:col>
                    <xdr:colOff>57150</xdr:colOff>
                    <xdr:row>15</xdr:row>
                    <xdr:rowOff>19050</xdr:rowOff>
                  </from>
                  <to>
                    <xdr:col>5</xdr:col>
                    <xdr:colOff>438150</xdr:colOff>
                    <xdr:row>15</xdr:row>
                    <xdr:rowOff>180975</xdr:rowOff>
                  </to>
                </anchor>
              </controlPr>
            </control>
          </mc:Choice>
        </mc:AlternateContent>
        <mc:AlternateContent xmlns:mc="http://schemas.openxmlformats.org/markup-compatibility/2006">
          <mc:Choice Requires="x14">
            <control shapeId="89094" r:id="rId4" name="Button 6">
              <controlPr defaultSize="0" print="0" autoFill="0" autoPict="0">
                <anchor moveWithCells="1" sizeWithCells="1">
                  <from>
                    <xdr:col>4</xdr:col>
                    <xdr:colOff>57150</xdr:colOff>
                    <xdr:row>16</xdr:row>
                    <xdr:rowOff>19050</xdr:rowOff>
                  </from>
                  <to>
                    <xdr:col>5</xdr:col>
                    <xdr:colOff>438150</xdr:colOff>
                    <xdr:row>16</xdr:row>
                    <xdr:rowOff>180975</xdr:rowOff>
                  </to>
                </anchor>
              </controlPr>
            </control>
          </mc:Choice>
        </mc:AlternateContent>
        <mc:AlternateContent xmlns:mc="http://schemas.openxmlformats.org/markup-compatibility/2006">
          <mc:Choice Requires="x14">
            <control shapeId="89095" r:id="rId5" name="Button 7">
              <controlPr defaultSize="0" print="0" autoFill="0" autoPict="0">
                <anchor moveWithCells="1" sizeWithCells="1">
                  <from>
                    <xdr:col>4</xdr:col>
                    <xdr:colOff>57150</xdr:colOff>
                    <xdr:row>17</xdr:row>
                    <xdr:rowOff>28575</xdr:rowOff>
                  </from>
                  <to>
                    <xdr:col>5</xdr:col>
                    <xdr:colOff>438150</xdr:colOff>
                    <xdr:row>17</xdr:row>
                    <xdr:rowOff>190500</xdr:rowOff>
                  </to>
                </anchor>
              </controlPr>
            </control>
          </mc:Choice>
        </mc:AlternateContent>
        <mc:AlternateContent xmlns:mc="http://schemas.openxmlformats.org/markup-compatibility/2006">
          <mc:Choice Requires="x14">
            <control shapeId="89112" r:id="rId6" name="Drop Down 24">
              <controlPr defaultSize="0" autoLine="0" autoPict="0">
                <anchor>
                  <from>
                    <xdr:col>0</xdr:col>
                    <xdr:colOff>95250</xdr:colOff>
                    <xdr:row>2</xdr:row>
                    <xdr:rowOff>57150</xdr:rowOff>
                  </from>
                  <to>
                    <xdr:col>1</xdr:col>
                    <xdr:colOff>1209675</xdr:colOff>
                    <xdr:row>3</xdr:row>
                    <xdr:rowOff>95250</xdr:rowOff>
                  </to>
                </anchor>
              </controlPr>
            </control>
          </mc:Choice>
        </mc:AlternateContent>
        <mc:AlternateContent xmlns:mc="http://schemas.openxmlformats.org/markup-compatibility/2006">
          <mc:Choice Requires="x14">
            <control shapeId="89113" r:id="rId7" name="Drop Down 25">
              <controlPr defaultSize="0" autoLine="0" autoPict="0">
                <anchor>
                  <from>
                    <xdr:col>2</xdr:col>
                    <xdr:colOff>0</xdr:colOff>
                    <xdr:row>2</xdr:row>
                    <xdr:rowOff>38100</xdr:rowOff>
                  </from>
                  <to>
                    <xdr:col>3</xdr:col>
                    <xdr:colOff>276225</xdr:colOff>
                    <xdr:row>3</xdr:row>
                    <xdr:rowOff>85725</xdr:rowOff>
                  </to>
                </anchor>
              </controlPr>
            </control>
          </mc:Choice>
        </mc:AlternateContent>
        <mc:AlternateContent xmlns:mc="http://schemas.openxmlformats.org/markup-compatibility/2006">
          <mc:Choice Requires="x14">
            <control shapeId="89114" r:id="rId8" name="Drop Down 26">
              <controlPr defaultSize="0" autoLine="0" autoPict="0">
                <anchor>
                  <from>
                    <xdr:col>5</xdr:col>
                    <xdr:colOff>19050</xdr:colOff>
                    <xdr:row>2</xdr:row>
                    <xdr:rowOff>57150</xdr:rowOff>
                  </from>
                  <to>
                    <xdr:col>6</xdr:col>
                    <xdr:colOff>95250</xdr:colOff>
                    <xdr:row>3</xdr:row>
                    <xdr:rowOff>95250</xdr:rowOff>
                  </to>
                </anchor>
              </controlPr>
            </control>
          </mc:Choice>
        </mc:AlternateContent>
        <mc:AlternateContent xmlns:mc="http://schemas.openxmlformats.org/markup-compatibility/2006">
          <mc:Choice Requires="x14">
            <control shapeId="89115" r:id="rId9" name="Drop Down 27">
              <controlPr defaultSize="0" autoLine="0" autoPict="0">
                <anchor>
                  <from>
                    <xdr:col>0</xdr:col>
                    <xdr:colOff>104775</xdr:colOff>
                    <xdr:row>4</xdr:row>
                    <xdr:rowOff>9525</xdr:rowOff>
                  </from>
                  <to>
                    <xdr:col>1</xdr:col>
                    <xdr:colOff>47625</xdr:colOff>
                    <xdr:row>5</xdr:row>
                    <xdr:rowOff>47625</xdr:rowOff>
                  </to>
                </anchor>
              </controlPr>
            </control>
          </mc:Choice>
        </mc:AlternateContent>
        <mc:AlternateContent xmlns:mc="http://schemas.openxmlformats.org/markup-compatibility/2006">
          <mc:Choice Requires="x14">
            <control shapeId="89116" r:id="rId10" name="Drop Down 28">
              <controlPr defaultSize="0" autoLine="0" autoPict="0">
                <anchor>
                  <from>
                    <xdr:col>1</xdr:col>
                    <xdr:colOff>104775</xdr:colOff>
                    <xdr:row>4</xdr:row>
                    <xdr:rowOff>9525</xdr:rowOff>
                  </from>
                  <to>
                    <xdr:col>1</xdr:col>
                    <xdr:colOff>1095375</xdr:colOff>
                    <xdr:row>5</xdr:row>
                    <xdr:rowOff>47625</xdr:rowOff>
                  </to>
                </anchor>
              </controlPr>
            </control>
          </mc:Choice>
        </mc:AlternateContent>
        <mc:AlternateContent xmlns:mc="http://schemas.openxmlformats.org/markup-compatibility/2006">
          <mc:Choice Requires="x14">
            <control shapeId="89117" r:id="rId11" name="Drop Down 29">
              <controlPr defaultSize="0" autoLine="0" autoPict="0">
                <anchor>
                  <from>
                    <xdr:col>1</xdr:col>
                    <xdr:colOff>1143000</xdr:colOff>
                    <xdr:row>4</xdr:row>
                    <xdr:rowOff>0</xdr:rowOff>
                  </from>
                  <to>
                    <xdr:col>3</xdr:col>
                    <xdr:colOff>228600</xdr:colOff>
                    <xdr:row>5</xdr:row>
                    <xdr:rowOff>38100</xdr:rowOff>
                  </to>
                </anchor>
              </controlPr>
            </control>
          </mc:Choice>
        </mc:AlternateContent>
        <mc:AlternateContent xmlns:mc="http://schemas.openxmlformats.org/markup-compatibility/2006">
          <mc:Choice Requires="x14">
            <control shapeId="89118" r:id="rId12" name="Drop Down 30">
              <controlPr defaultSize="0" autoLine="0" autoPict="0">
                <anchor>
                  <from>
                    <xdr:col>3</xdr:col>
                    <xdr:colOff>304800</xdr:colOff>
                    <xdr:row>4</xdr:row>
                    <xdr:rowOff>0</xdr:rowOff>
                  </from>
                  <to>
                    <xdr:col>4</xdr:col>
                    <xdr:colOff>342900</xdr:colOff>
                    <xdr:row>5</xdr:row>
                    <xdr:rowOff>38100</xdr:rowOff>
                  </to>
                </anchor>
              </controlPr>
            </control>
          </mc:Choice>
        </mc:AlternateContent>
        <mc:AlternateContent xmlns:mc="http://schemas.openxmlformats.org/markup-compatibility/2006">
          <mc:Choice Requires="x14">
            <control shapeId="89119" r:id="rId13" name="Check Box 31">
              <controlPr defaultSize="0" autoFill="0" autoLine="0" autoPict="0">
                <anchor moveWithCells="1">
                  <from>
                    <xdr:col>7</xdr:col>
                    <xdr:colOff>352425</xdr:colOff>
                    <xdr:row>4</xdr:row>
                    <xdr:rowOff>0</xdr:rowOff>
                  </from>
                  <to>
                    <xdr:col>8</xdr:col>
                    <xdr:colOff>609600</xdr:colOff>
                    <xdr:row>5</xdr:row>
                    <xdr:rowOff>38100</xdr:rowOff>
                  </to>
                </anchor>
              </controlPr>
            </control>
          </mc:Choice>
        </mc:AlternateContent>
        <mc:AlternateContent xmlns:mc="http://schemas.openxmlformats.org/markup-compatibility/2006">
          <mc:Choice Requires="x14">
            <control shapeId="89120" r:id="rId14" name="Check Box 32">
              <controlPr defaultSize="0" autoFill="0" autoLine="0" autoPict="0">
                <anchor moveWithCells="1">
                  <from>
                    <xdr:col>7</xdr:col>
                    <xdr:colOff>352425</xdr:colOff>
                    <xdr:row>2</xdr:row>
                    <xdr:rowOff>85725</xdr:rowOff>
                  </from>
                  <to>
                    <xdr:col>8</xdr:col>
                    <xdr:colOff>619125</xdr:colOff>
                    <xdr:row>3</xdr:row>
                    <xdr:rowOff>123825</xdr:rowOff>
                  </to>
                </anchor>
              </controlPr>
            </control>
          </mc:Choice>
        </mc:AlternateContent>
        <mc:AlternateContent xmlns:mc="http://schemas.openxmlformats.org/markup-compatibility/2006">
          <mc:Choice Requires="x14">
            <control shapeId="89121" r:id="rId15" name="Check Box 33">
              <controlPr defaultSize="0" autoFill="0" autoLine="0" autoPict="0">
                <anchor moveWithCells="1">
                  <from>
                    <xdr:col>6</xdr:col>
                    <xdr:colOff>171450</xdr:colOff>
                    <xdr:row>2</xdr:row>
                    <xdr:rowOff>76200</xdr:rowOff>
                  </from>
                  <to>
                    <xdr:col>7</xdr:col>
                    <xdr:colOff>581025</xdr:colOff>
                    <xdr:row>3</xdr:row>
                    <xdr:rowOff>114300</xdr:rowOff>
                  </to>
                </anchor>
              </controlPr>
            </control>
          </mc:Choice>
        </mc:AlternateContent>
        <mc:AlternateContent xmlns:mc="http://schemas.openxmlformats.org/markup-compatibility/2006">
          <mc:Choice Requires="x14">
            <control shapeId="89122" r:id="rId16" name="Drop Down 34">
              <controlPr defaultSize="0" autoLine="0" autoPict="0">
                <anchor moveWithCells="1">
                  <from>
                    <xdr:col>4</xdr:col>
                    <xdr:colOff>428625</xdr:colOff>
                    <xdr:row>4</xdr:row>
                    <xdr:rowOff>19050</xdr:rowOff>
                  </from>
                  <to>
                    <xdr:col>6</xdr:col>
                    <xdr:colOff>85725</xdr:colOff>
                    <xdr:row>5</xdr:row>
                    <xdr:rowOff>57150</xdr:rowOff>
                  </to>
                </anchor>
              </controlPr>
            </control>
          </mc:Choice>
        </mc:AlternateContent>
        <mc:AlternateContent xmlns:mc="http://schemas.openxmlformats.org/markup-compatibility/2006">
          <mc:Choice Requires="x14">
            <control shapeId="89123" r:id="rId17" name="Drop Down 35">
              <controlPr defaultSize="0" autoLine="0" autoPict="0">
                <anchor>
                  <from>
                    <xdr:col>3</xdr:col>
                    <xdr:colOff>295275</xdr:colOff>
                    <xdr:row>2</xdr:row>
                    <xdr:rowOff>57150</xdr:rowOff>
                  </from>
                  <to>
                    <xdr:col>4</xdr:col>
                    <xdr:colOff>552450</xdr:colOff>
                    <xdr:row>3</xdr:row>
                    <xdr:rowOff>95250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
    <tabColor theme="9" tint="0.59999389629810485"/>
  </sheetPr>
  <dimension ref="A1:BM124"/>
  <sheetViews>
    <sheetView showGridLines="0" topLeftCell="J6" zoomScale="70" zoomScaleNormal="70" workbookViewId="0">
      <selection activeCell="B7" sqref="B7"/>
    </sheetView>
  </sheetViews>
  <sheetFormatPr defaultColWidth="9" defaultRowHeight="15" x14ac:dyDescent="0.3"/>
  <cols>
    <col min="2" max="2" width="18.375" customWidth="1"/>
    <col min="3" max="3" width="13.125" bestFit="1" customWidth="1"/>
    <col min="4" max="7" width="9.125" bestFit="1" customWidth="1"/>
    <col min="8" max="8" width="12" customWidth="1"/>
    <col min="9" max="9" width="15.875" customWidth="1"/>
    <col min="10" max="13" width="9.125" bestFit="1" customWidth="1"/>
    <col min="15" max="15" width="11.875" bestFit="1" customWidth="1"/>
    <col min="16" max="16" width="9.125" bestFit="1" customWidth="1"/>
    <col min="23" max="23" width="10.375" customWidth="1"/>
    <col min="24" max="24" width="9.125" bestFit="1" customWidth="1"/>
    <col min="27" max="27" width="12.375" customWidth="1"/>
    <col min="28" max="29" width="9.125" bestFit="1" customWidth="1"/>
    <col min="30" max="30" width="12.375" bestFit="1" customWidth="1"/>
    <col min="31" max="34" width="9.125" bestFit="1" customWidth="1"/>
    <col min="35" max="35" width="12.875" customWidth="1"/>
    <col min="36" max="36" width="12.625" customWidth="1"/>
    <col min="37" max="37" width="15.875" bestFit="1" customWidth="1"/>
    <col min="38" max="38" width="11.375" customWidth="1"/>
    <col min="39" max="40" width="12" customWidth="1"/>
    <col min="41" max="41" width="11" customWidth="1"/>
    <col min="42" max="50" width="9.125" bestFit="1" customWidth="1"/>
    <col min="51" max="51" width="11.875" bestFit="1" customWidth="1"/>
    <col min="52" max="52" width="9.375" bestFit="1" customWidth="1"/>
    <col min="53" max="60" width="9.125" bestFit="1" customWidth="1"/>
    <col min="61" max="61" width="12.375" bestFit="1" customWidth="1"/>
    <col min="62" max="62" width="11.75" bestFit="1" customWidth="1"/>
    <col min="63" max="64" width="9.125" bestFit="1" customWidth="1"/>
    <col min="65" max="65" width="11" customWidth="1"/>
  </cols>
  <sheetData>
    <row r="1" spans="1:42" ht="21.75" thickBot="1" x14ac:dyDescent="0.35">
      <c r="A1" s="6"/>
      <c r="C1" t="s">
        <v>47</v>
      </c>
      <c r="D1" t="s">
        <v>54</v>
      </c>
      <c r="E1" t="s">
        <v>55</v>
      </c>
      <c r="F1" t="s">
        <v>56</v>
      </c>
    </row>
    <row r="2" spans="1:42" x14ac:dyDescent="0.3">
      <c r="B2" t="s">
        <v>57</v>
      </c>
      <c r="C2">
        <f ca="1">Scenarios!D74</f>
        <v>22</v>
      </c>
      <c r="D2">
        <f ca="1">C2*PI()/180</f>
        <v>0.38397243543875248</v>
      </c>
      <c r="E2">
        <f ca="1">COS(D2)</f>
        <v>0.92718385456678742</v>
      </c>
      <c r="F2">
        <f ca="1">SIN(D2)</f>
        <v>0.37460659341591201</v>
      </c>
      <c r="P2" s="89" t="s">
        <v>108</v>
      </c>
      <c r="AA2" s="1923"/>
      <c r="AB2" s="1924"/>
      <c r="AC2" s="1924"/>
      <c r="AD2" s="1924"/>
      <c r="AE2" s="1924"/>
      <c r="AF2" s="1924"/>
      <c r="AG2" s="1924"/>
      <c r="AH2" s="1924"/>
      <c r="AI2" s="1924"/>
      <c r="AJ2" s="1924"/>
      <c r="AK2" s="1933"/>
      <c r="AL2" s="1924"/>
      <c r="AM2" s="1924"/>
      <c r="AN2" s="1924"/>
      <c r="AO2" s="1925"/>
    </row>
    <row r="3" spans="1:42" ht="15.75" x14ac:dyDescent="0.3">
      <c r="B3" t="s">
        <v>52</v>
      </c>
      <c r="C3">
        <f ca="1">Scenarios!D83</f>
        <v>12</v>
      </c>
      <c r="D3">
        <f ca="1">C3*PI()/180</f>
        <v>0.20943951023931953</v>
      </c>
      <c r="E3">
        <f ca="1">COS(D3)</f>
        <v>0.97814760073380569</v>
      </c>
      <c r="F3">
        <f ca="1">SIN(D3)</f>
        <v>0.20791169081775931</v>
      </c>
      <c r="H3" s="89" t="s">
        <v>53</v>
      </c>
      <c r="I3" s="89" t="s">
        <v>61</v>
      </c>
      <c r="J3" s="89" t="s">
        <v>60</v>
      </c>
      <c r="K3" s="89" t="s">
        <v>62</v>
      </c>
      <c r="L3" s="89" t="s">
        <v>63</v>
      </c>
      <c r="M3" s="89" t="s">
        <v>64</v>
      </c>
      <c r="O3" s="89" t="s">
        <v>67</v>
      </c>
      <c r="P3" s="18">
        <f ca="1">(1+C4^2+2*C4*F2)^1.5</f>
        <v>1.1780532199394542</v>
      </c>
      <c r="W3" s="89" t="s">
        <v>71</v>
      </c>
      <c r="X3" s="89" t="s">
        <v>80</v>
      </c>
      <c r="AA3" s="1926"/>
      <c r="AB3" s="47"/>
      <c r="AC3" s="47"/>
      <c r="AD3" s="47"/>
      <c r="AE3" s="47"/>
      <c r="AF3" s="47"/>
      <c r="AG3" s="47"/>
      <c r="AH3" s="47"/>
      <c r="AI3" s="47"/>
      <c r="AJ3" s="1927"/>
      <c r="AK3" s="47" t="s">
        <v>1710</v>
      </c>
      <c r="AL3" s="1928" t="s">
        <v>433</v>
      </c>
      <c r="AM3" s="1928" t="s">
        <v>23</v>
      </c>
      <c r="AN3" s="1928" t="s">
        <v>216</v>
      </c>
      <c r="AO3" s="1929"/>
    </row>
    <row r="4" spans="1:42" ht="15.75" x14ac:dyDescent="0.3">
      <c r="B4" t="s">
        <v>66</v>
      </c>
      <c r="C4">
        <f ca="1">Mp_t*9.81/Performance!C45</f>
        <v>0.13112312418348523</v>
      </c>
      <c r="F4">
        <v>1</v>
      </c>
      <c r="G4">
        <v>0</v>
      </c>
      <c r="H4" s="18">
        <f>G4*2*PI()</f>
        <v>0</v>
      </c>
      <c r="I4" s="18">
        <f ca="1">ACOS(E$2*E$3+F$2*F$3*COS(H4))</f>
        <v>0.17453292519943253</v>
      </c>
      <c r="J4" s="19">
        <f ca="1">I4*180/PI()</f>
        <v>9.9999999999999769</v>
      </c>
      <c r="K4">
        <f ca="1">COS(I4)</f>
        <v>0.98480775301220813</v>
      </c>
      <c r="L4">
        <f ca="1">K4^2</f>
        <v>0.96984631039295432</v>
      </c>
      <c r="M4">
        <f ca="1">K4*L4</f>
        <v>0.95511216570526591</v>
      </c>
      <c r="O4">
        <f>ABS(COS(H4))</f>
        <v>1</v>
      </c>
      <c r="V4" s="20"/>
      <c r="W4" t="s">
        <v>72</v>
      </c>
      <c r="X4" s="21">
        <f ca="1">Performance!C25</f>
        <v>454.72055909502228</v>
      </c>
      <c r="Y4" s="20"/>
      <c r="AA4" s="1934" t="s">
        <v>1706</v>
      </c>
      <c r="AB4" s="1937" t="s">
        <v>1707</v>
      </c>
      <c r="AD4" s="1927" t="s">
        <v>1712</v>
      </c>
      <c r="AE4" s="1927" t="s">
        <v>163</v>
      </c>
      <c r="AF4" s="1927" t="s">
        <v>210</v>
      </c>
      <c r="AG4" s="1927" t="s">
        <v>164</v>
      </c>
      <c r="AH4" s="1927" t="s">
        <v>434</v>
      </c>
      <c r="AI4" s="1942" t="str">
        <f ca="1">AP18</f>
        <v>E</v>
      </c>
      <c r="AJ4" s="47"/>
      <c r="AK4" s="47">
        <v>0</v>
      </c>
      <c r="AL4" s="47">
        <f>AE$5*$AK4^3+AE$6*$AK4^2+AE$7*$AK4+AE$8</f>
        <v>0.72330000000000005</v>
      </c>
      <c r="AM4" s="47">
        <f>AF$5*$AK4^3+AF$6*$AK4^2+AF$7*$AK4+AF$8</f>
        <v>0.57350000000000001</v>
      </c>
      <c r="AN4" s="47">
        <f>AG$5*$AK4^3+AG$6*$AK4^2+AG$7*$AK4+AG$8</f>
        <v>0.7</v>
      </c>
      <c r="AO4" s="1929"/>
    </row>
    <row r="5" spans="1:42" x14ac:dyDescent="0.3">
      <c r="B5" t="s">
        <v>1747</v>
      </c>
      <c r="C5">
        <f ca="1">Mp_t*9.81</f>
        <v>4460.8086847221684</v>
      </c>
      <c r="F5">
        <v>2</v>
      </c>
      <c r="G5">
        <v>0.05</v>
      </c>
      <c r="H5" s="18">
        <f t="shared" ref="H5:H24" si="0">G5*2*PI()</f>
        <v>0.31415926535897931</v>
      </c>
      <c r="I5" s="18">
        <f t="shared" ref="I5:I24" ca="1" si="1">ACOS(E$2*E$3+F$2*F$3*COS(H5))</f>
        <v>0.19526758521557075</v>
      </c>
      <c r="J5" s="19">
        <f t="shared" ref="J5:J23" ca="1" si="2">I5*180/PI()</f>
        <v>11.188008508563355</v>
      </c>
      <c r="K5">
        <f t="shared" ref="K5:K24" ca="1" si="3">COS(I5)</f>
        <v>0.980995785367755</v>
      </c>
      <c r="L5">
        <f t="shared" ref="L5:L24" ca="1" si="4">K5^2</f>
        <v>0.9623527309092984</v>
      </c>
      <c r="M5">
        <f t="shared" ref="M5:M24" ca="1" si="5">K5*L5</f>
        <v>0.944063973059171</v>
      </c>
      <c r="O5">
        <f t="shared" ref="O5:O24" si="6">ABS(COS(H5))</f>
        <v>0.95105651629515353</v>
      </c>
      <c r="V5" s="20"/>
      <c r="W5" t="s">
        <v>73</v>
      </c>
      <c r="X5" s="22">
        <f ca="1">X4*9.81*$E2</f>
        <v>4135.9897907857012</v>
      </c>
      <c r="AA5" s="1935">
        <v>0.67100000000000004</v>
      </c>
      <c r="AB5" s="1938">
        <v>0.55959999999999999</v>
      </c>
      <c r="AD5" s="47" t="s">
        <v>25</v>
      </c>
      <c r="AE5" s="47">
        <f>AA5</f>
        <v>0.67100000000000004</v>
      </c>
      <c r="AF5" s="47">
        <v>0.66849999999999998</v>
      </c>
      <c r="AG5" s="47">
        <v>0.46199999999999997</v>
      </c>
      <c r="AH5" s="47">
        <v>0</v>
      </c>
      <c r="AI5" s="47">
        <f ca="1">(AI$4="E")*AE5+(AI$4="M")*AF5+(AI$4="H")*AG5+(AI$4="C")*AH5</f>
        <v>0.67100000000000004</v>
      </c>
      <c r="AJ5" s="47"/>
      <c r="AK5" s="47">
        <v>0.1</v>
      </c>
      <c r="AL5" s="47">
        <f t="shared" ref="AL5:AL14" si="7">AE$5*$AK5^3+AE$6*$AK5^2+AE$7*$AK5+AE$8</f>
        <v>0.80730000000000002</v>
      </c>
      <c r="AM5" s="47">
        <f t="shared" ref="AM5:AM14" si="8">AF$5*$AK5^3+AF$6*$AK5^2+AF$7*$AK5+AF$8</f>
        <v>0.68991250000000004</v>
      </c>
      <c r="AN5" s="47">
        <f t="shared" ref="AN5:AN14" si="9">AG$5*$AK5^3+AG$6*$AK5^2+AG$7*$AK5+AG$8</f>
        <v>0.77884799999999998</v>
      </c>
      <c r="AO5" s="1929"/>
    </row>
    <row r="6" spans="1:42" x14ac:dyDescent="0.3">
      <c r="B6" t="s">
        <v>125</v>
      </c>
      <c r="C6" s="18">
        <f ca="1">Performance!C45</f>
        <v>34020.000000000007</v>
      </c>
      <c r="F6">
        <v>3</v>
      </c>
      <c r="G6">
        <v>0.1</v>
      </c>
      <c r="H6" s="18">
        <f t="shared" si="0"/>
        <v>0.62831853071795862</v>
      </c>
      <c r="I6" s="18">
        <f t="shared" ca="1" si="1"/>
        <v>0.24584086712004316</v>
      </c>
      <c r="J6" s="19">
        <f t="shared" ca="1" si="2"/>
        <v>14.085644117814962</v>
      </c>
      <c r="K6">
        <f t="shared" ca="1" si="3"/>
        <v>0.96993302438697493</v>
      </c>
      <c r="L6">
        <f t="shared" ca="1" si="4"/>
        <v>0.9407700717964641</v>
      </c>
      <c r="M6">
        <f t="shared" ca="1" si="5"/>
        <v>0.91248396099029594</v>
      </c>
      <c r="O6">
        <f t="shared" si="6"/>
        <v>0.80901699437494745</v>
      </c>
      <c r="W6" t="s">
        <v>7</v>
      </c>
      <c r="X6" s="22">
        <f ca="1">CL</f>
        <v>2.1</v>
      </c>
      <c r="AA6" s="1935">
        <v>-1.4140999999999999</v>
      </c>
      <c r="AB6" s="1938">
        <v>-1.0907</v>
      </c>
      <c r="AD6" s="47" t="s">
        <v>26</v>
      </c>
      <c r="AE6" s="47">
        <f t="shared" ref="AE6:AE8" si="10">AA6</f>
        <v>-1.4140999999999999</v>
      </c>
      <c r="AF6" s="47">
        <v>-1.6295999999999999</v>
      </c>
      <c r="AG6" s="47">
        <v>-1.0933999999999999</v>
      </c>
      <c r="AH6" s="47">
        <v>0</v>
      </c>
      <c r="AI6" s="47">
        <f t="shared" ref="AI6:AI8" ca="1" si="11">(AI$4="E")*AE6+(AI$4="M")*AF6+(AI$4="H")*AG6+(AI$4="C")*AH6</f>
        <v>-1.4140999999999999</v>
      </c>
      <c r="AJ6" s="47"/>
      <c r="AK6" s="47">
        <v>0.2</v>
      </c>
      <c r="AL6" s="47">
        <f t="shared" si="7"/>
        <v>0.86704400000000004</v>
      </c>
      <c r="AM6" s="47">
        <f t="shared" si="8"/>
        <v>0.77774399999999999</v>
      </c>
      <c r="AN6" s="47">
        <f t="shared" si="9"/>
        <v>0.83860000000000001</v>
      </c>
      <c r="AO6" s="1929"/>
    </row>
    <row r="7" spans="1:42" x14ac:dyDescent="0.3">
      <c r="B7" t="s">
        <v>1748</v>
      </c>
      <c r="C7">
        <f ca="1">SQRT(C6^2+C5^2+2*C5*C6*F2)</f>
        <v>35929.894844452967</v>
      </c>
      <c r="F7">
        <v>4</v>
      </c>
      <c r="G7">
        <v>0.15</v>
      </c>
      <c r="H7" s="18">
        <f t="shared" si="0"/>
        <v>0.94247779607693793</v>
      </c>
      <c r="I7" s="18">
        <f t="shared" ca="1" si="1"/>
        <v>0.30878876078773843</v>
      </c>
      <c r="J7" s="19">
        <f t="shared" ca="1" si="2"/>
        <v>17.692292754212183</v>
      </c>
      <c r="K7">
        <f t="shared" ca="1" si="3"/>
        <v>0.95270237019345483</v>
      </c>
      <c r="L7">
        <f t="shared" ca="1" si="4"/>
        <v>0.90764180617222667</v>
      </c>
      <c r="M7">
        <f t="shared" ca="1" si="5"/>
        <v>0.86471250002694866</v>
      </c>
      <c r="O7">
        <f t="shared" si="6"/>
        <v>0.58778525229247314</v>
      </c>
      <c r="W7" t="s">
        <v>11</v>
      </c>
      <c r="X7" s="22">
        <f ca="1">Performance!C46</f>
        <v>0.33267482889734057</v>
      </c>
      <c r="AA7" s="1935">
        <v>0.97470000000000001</v>
      </c>
      <c r="AB7" s="1938">
        <v>0.66249999999999998</v>
      </c>
      <c r="AD7" s="47" t="s">
        <v>27</v>
      </c>
      <c r="AE7" s="47">
        <f t="shared" si="10"/>
        <v>0.97470000000000001</v>
      </c>
      <c r="AF7" s="47">
        <v>1.3204</v>
      </c>
      <c r="AG7" s="47">
        <v>0.89319999999999999</v>
      </c>
      <c r="AH7" s="47">
        <v>0</v>
      </c>
      <c r="AI7" s="47">
        <f t="shared" ca="1" si="11"/>
        <v>0.97470000000000001</v>
      </c>
      <c r="AJ7" s="47"/>
      <c r="AK7" s="47">
        <v>0.3</v>
      </c>
      <c r="AL7" s="47">
        <f t="shared" si="7"/>
        <v>0.90655800000000009</v>
      </c>
      <c r="AM7" s="47">
        <f t="shared" si="8"/>
        <v>0.84100549999999996</v>
      </c>
      <c r="AN7" s="47">
        <f t="shared" si="9"/>
        <v>0.88202799999999992</v>
      </c>
      <c r="AO7" s="1929"/>
    </row>
    <row r="8" spans="1:42" x14ac:dyDescent="0.3">
      <c r="F8">
        <v>5</v>
      </c>
      <c r="G8">
        <v>0.2</v>
      </c>
      <c r="H8" s="18">
        <f t="shared" si="0"/>
        <v>1.2566370614359172</v>
      </c>
      <c r="I8" s="18">
        <f t="shared" ca="1" si="1"/>
        <v>0.37367948384124849</v>
      </c>
      <c r="J8" s="19">
        <f t="shared" ca="1" si="2"/>
        <v>21.410257314730583</v>
      </c>
      <c r="K8">
        <f t="shared" ca="1" si="3"/>
        <v>0.9309904792726833</v>
      </c>
      <c r="L8">
        <f t="shared" ca="1" si="4"/>
        <v>0.86674327249638061</v>
      </c>
      <c r="M8">
        <f t="shared" ca="1" si="5"/>
        <v>0.80692973466777929</v>
      </c>
      <c r="O8">
        <f t="shared" si="6"/>
        <v>0.30901699437494745</v>
      </c>
      <c r="W8" t="s">
        <v>6</v>
      </c>
      <c r="X8" s="22">
        <f ca="1">Scenarios!D20</f>
        <v>12</v>
      </c>
      <c r="AA8" s="1936">
        <v>0.72330000000000005</v>
      </c>
      <c r="AB8" s="1939">
        <v>0.83889999999999998</v>
      </c>
      <c r="AD8" s="47" t="s">
        <v>1708</v>
      </c>
      <c r="AE8" s="47">
        <f t="shared" si="10"/>
        <v>0.72330000000000005</v>
      </c>
      <c r="AF8" s="47">
        <v>0.57350000000000001</v>
      </c>
      <c r="AG8" s="47">
        <v>0.7</v>
      </c>
      <c r="AH8" s="47">
        <f ca="1">AO18</f>
        <v>0.95</v>
      </c>
      <c r="AI8" s="47">
        <f t="shared" ca="1" si="11"/>
        <v>0.72330000000000005</v>
      </c>
      <c r="AJ8" s="47"/>
      <c r="AK8" s="47">
        <v>0.4</v>
      </c>
      <c r="AL8" s="47">
        <f>AE$5*$AK8^3+AE$6*$AK8^2+AE$7*$AK8+AE$8</f>
        <v>0.92986800000000003</v>
      </c>
      <c r="AM8" s="47">
        <f t="shared" si="8"/>
        <v>0.88370800000000005</v>
      </c>
      <c r="AN8" s="47">
        <f t="shared" si="9"/>
        <v>0.91190400000000005</v>
      </c>
      <c r="AO8" s="1929"/>
    </row>
    <row r="9" spans="1:42" x14ac:dyDescent="0.3">
      <c r="F9">
        <v>6</v>
      </c>
      <c r="G9">
        <v>0.25</v>
      </c>
      <c r="H9" s="18">
        <f t="shared" si="0"/>
        <v>1.5707963267948966</v>
      </c>
      <c r="I9" s="18">
        <f t="shared" ca="1" si="1"/>
        <v>0.43487511566854842</v>
      </c>
      <c r="J9" s="19">
        <f t="shared" ca="1" si="2"/>
        <v>24.916508743071319</v>
      </c>
      <c r="K9">
        <f t="shared" ca="1" si="3"/>
        <v>0.90692266278362499</v>
      </c>
      <c r="L9">
        <f t="shared" ca="1" si="4"/>
        <v>0.82250871627054079</v>
      </c>
      <c r="M9">
        <f t="shared" ca="1" si="5"/>
        <v>0.74595179512281995</v>
      </c>
      <c r="O9">
        <f t="shared" si="6"/>
        <v>6.1257422745431001E-17</v>
      </c>
      <c r="W9" t="s">
        <v>75</v>
      </c>
      <c r="X9" s="22">
        <f ca="1">Scenarios!D23*1000</f>
        <v>150000</v>
      </c>
      <c r="AA9" s="1926"/>
      <c r="AB9" s="47"/>
      <c r="AC9" s="47"/>
      <c r="AD9" s="47"/>
      <c r="AE9" s="47"/>
      <c r="AF9" s="47"/>
      <c r="AG9" s="47"/>
      <c r="AH9" s="47"/>
      <c r="AI9" s="47"/>
      <c r="AJ9" s="47"/>
      <c r="AK9" s="47">
        <v>0.5</v>
      </c>
      <c r="AL9" s="47">
        <f t="shared" si="7"/>
        <v>0.94100000000000006</v>
      </c>
      <c r="AM9" s="47">
        <f t="shared" si="8"/>
        <v>0.90986250000000002</v>
      </c>
      <c r="AN9" s="47">
        <f t="shared" si="9"/>
        <v>0.93099999999999994</v>
      </c>
      <c r="AO9" s="1929"/>
    </row>
    <row r="10" spans="1:42" x14ac:dyDescent="0.3">
      <c r="F10">
        <v>7</v>
      </c>
      <c r="G10">
        <v>0.3</v>
      </c>
      <c r="H10" s="18">
        <f t="shared" si="0"/>
        <v>1.8849555921538759</v>
      </c>
      <c r="I10" s="18">
        <f t="shared" ca="1" si="1"/>
        <v>0.48888970910658824</v>
      </c>
      <c r="J10" s="19">
        <f t="shared" ca="1" si="2"/>
        <v>28.011316979186034</v>
      </c>
      <c r="K10">
        <f t="shared" ca="1" si="3"/>
        <v>0.88285484629456668</v>
      </c>
      <c r="L10">
        <f t="shared" ca="1" si="4"/>
        <v>0.77943267962580298</v>
      </c>
      <c r="M10">
        <f t="shared" ca="1" si="5"/>
        <v>0.68812591856800054</v>
      </c>
      <c r="O10">
        <f t="shared" si="6"/>
        <v>0.30901699437494734</v>
      </c>
      <c r="W10" t="s">
        <v>74</v>
      </c>
      <c r="X10" s="22">
        <f ca="1">0.5*X6*rho*X8</f>
        <v>14.956319395234758</v>
      </c>
      <c r="AA10" s="1926"/>
      <c r="AB10" s="47"/>
      <c r="AC10" s="47"/>
      <c r="AD10" s="47"/>
      <c r="AE10" s="47"/>
      <c r="AF10" s="47"/>
      <c r="AG10" s="47"/>
      <c r="AH10" s="47"/>
      <c r="AI10" s="47"/>
      <c r="AJ10" s="47"/>
      <c r="AK10" s="47">
        <v>0.6</v>
      </c>
      <c r="AL10" s="47">
        <f t="shared" si="7"/>
        <v>0.94398000000000004</v>
      </c>
      <c r="AM10" s="47">
        <f t="shared" si="8"/>
        <v>0.92347999999999997</v>
      </c>
      <c r="AN10" s="47">
        <f t="shared" si="9"/>
        <v>0.94208799999999993</v>
      </c>
      <c r="AO10" s="1929"/>
    </row>
    <row r="11" spans="1:42" x14ac:dyDescent="0.3">
      <c r="F11">
        <v>8</v>
      </c>
      <c r="G11">
        <v>0.35</v>
      </c>
      <c r="H11" s="18">
        <f t="shared" si="0"/>
        <v>2.1991148575128552</v>
      </c>
      <c r="I11" s="18">
        <f t="shared" ca="1" si="1"/>
        <v>0.53328261142258659</v>
      </c>
      <c r="J11" s="19">
        <f t="shared" ca="1" si="2"/>
        <v>30.55484292222928</v>
      </c>
      <c r="K11">
        <f t="shared" ca="1" si="3"/>
        <v>0.86114295537379526</v>
      </c>
      <c r="L11">
        <f t="shared" ca="1" si="4"/>
        <v>0.7415671895899143</v>
      </c>
      <c r="M11">
        <f t="shared" ca="1" si="5"/>
        <v>0.63859536125169836</v>
      </c>
      <c r="O11">
        <f t="shared" si="6"/>
        <v>0.58778525229247303</v>
      </c>
      <c r="W11" t="s">
        <v>77</v>
      </c>
      <c r="X11" s="22">
        <f ca="1">0.5*X7*rho*X8</f>
        <v>2.369329045592238</v>
      </c>
      <c r="AA11" s="1926"/>
      <c r="AB11" s="47"/>
      <c r="AC11" s="47"/>
      <c r="AD11" s="47"/>
      <c r="AE11" s="47"/>
      <c r="AF11" s="47"/>
      <c r="AG11" s="47"/>
      <c r="AH11" s="47"/>
      <c r="AI11" s="47"/>
      <c r="AJ11" s="47"/>
      <c r="AK11" s="47">
        <v>0.7</v>
      </c>
      <c r="AL11" s="47">
        <f t="shared" si="7"/>
        <v>0.94283400000000006</v>
      </c>
      <c r="AM11" s="47">
        <f t="shared" si="8"/>
        <v>0.92857149999999999</v>
      </c>
      <c r="AN11" s="47">
        <f t="shared" si="9"/>
        <v>0.94794</v>
      </c>
      <c r="AO11" s="1929"/>
    </row>
    <row r="12" spans="1:42" x14ac:dyDescent="0.3">
      <c r="F12">
        <v>9</v>
      </c>
      <c r="G12">
        <v>0.4</v>
      </c>
      <c r="H12" s="18">
        <f t="shared" si="0"/>
        <v>2.5132741228718345</v>
      </c>
      <c r="I12" s="18">
        <f t="shared" ca="1" si="1"/>
        <v>0.56626187343123213</v>
      </c>
      <c r="J12" s="19">
        <f t="shared" ca="1" si="2"/>
        <v>32.444415446780802</v>
      </c>
      <c r="K12">
        <f t="shared" ca="1" si="3"/>
        <v>0.84391230118027516</v>
      </c>
      <c r="L12">
        <f t="shared" ca="1" si="4"/>
        <v>0.71218797208338747</v>
      </c>
      <c r="M12">
        <f t="shared" ca="1" si="5"/>
        <v>0.60102419039380506</v>
      </c>
      <c r="O12">
        <f t="shared" si="6"/>
        <v>0.80901699437494734</v>
      </c>
      <c r="W12" s="89" t="s">
        <v>82</v>
      </c>
      <c r="X12" s="22">
        <f>Scenarios!D62</f>
        <v>2.5</v>
      </c>
      <c r="Y12" s="1949" t="s">
        <v>1716</v>
      </c>
      <c r="Z12" s="1947"/>
      <c r="AA12" s="1926"/>
      <c r="AB12" s="47"/>
      <c r="AC12" s="47"/>
      <c r="AD12" s="47"/>
      <c r="AE12" s="47"/>
      <c r="AF12" s="47"/>
      <c r="AG12" s="47"/>
      <c r="AH12" s="47"/>
      <c r="AI12" s="47"/>
      <c r="AJ12" s="47"/>
      <c r="AK12" s="47">
        <v>0.8</v>
      </c>
      <c r="AL12" s="47">
        <f t="shared" si="7"/>
        <v>0.94158799999999998</v>
      </c>
      <c r="AM12" s="47">
        <f t="shared" si="8"/>
        <v>0.9291480000000002</v>
      </c>
      <c r="AN12" s="47">
        <f t="shared" si="9"/>
        <v>0.95132799999999995</v>
      </c>
      <c r="AO12" s="1929"/>
    </row>
    <row r="13" spans="1:42" x14ac:dyDescent="0.3">
      <c r="F13">
        <v>10</v>
      </c>
      <c r="G13">
        <v>0.45</v>
      </c>
      <c r="H13" s="18">
        <f t="shared" si="0"/>
        <v>2.8274333882308138</v>
      </c>
      <c r="I13" s="18">
        <f t="shared" ca="1" si="1"/>
        <v>0.58656018164400481</v>
      </c>
      <c r="J13" s="19">
        <f t="shared" ca="1" si="2"/>
        <v>33.607422838628416</v>
      </c>
      <c r="K13">
        <f t="shared" ca="1" si="3"/>
        <v>0.83284954019949509</v>
      </c>
      <c r="L13">
        <f t="shared" ca="1" si="4"/>
        <v>0.69363835661051043</v>
      </c>
      <c r="M13">
        <f t="shared" ca="1" si="5"/>
        <v>0.57769638636779697</v>
      </c>
      <c r="O13">
        <f t="shared" si="6"/>
        <v>0.95105651629515353</v>
      </c>
      <c r="Y13" s="1949" t="s">
        <v>1717</v>
      </c>
      <c r="Z13" s="1947"/>
      <c r="AA13" s="1926"/>
      <c r="AB13" s="47"/>
      <c r="AC13" s="47"/>
      <c r="AD13" s="47"/>
      <c r="AE13" s="47"/>
      <c r="AF13" s="47"/>
      <c r="AG13" s="47"/>
      <c r="AH13" s="47"/>
      <c r="AI13" s="47"/>
      <c r="AJ13" s="47"/>
      <c r="AK13" s="47">
        <v>0.9</v>
      </c>
      <c r="AL13" s="47">
        <f t="shared" si="7"/>
        <v>0.94426800000000022</v>
      </c>
      <c r="AM13" s="47">
        <f t="shared" si="8"/>
        <v>0.92922050000000012</v>
      </c>
      <c r="AN13" s="47">
        <f t="shared" si="9"/>
        <v>0.95502399999999998</v>
      </c>
      <c r="AO13" s="1929"/>
    </row>
    <row r="14" spans="1:42" x14ac:dyDescent="0.3">
      <c r="F14">
        <v>11</v>
      </c>
      <c r="G14">
        <v>0.5</v>
      </c>
      <c r="H14" s="18">
        <f t="shared" si="0"/>
        <v>3.1415926535897931</v>
      </c>
      <c r="I14" s="18">
        <f t="shared" ca="1" si="1"/>
        <v>0.59341194567807165</v>
      </c>
      <c r="J14" s="19">
        <f t="shared" ca="1" si="2"/>
        <v>33.999999999999979</v>
      </c>
      <c r="K14">
        <f t="shared" ca="1" si="3"/>
        <v>0.82903757255504196</v>
      </c>
      <c r="L14">
        <f t="shared" ca="1" si="4"/>
        <v>0.68730329670795642</v>
      </c>
      <c r="M14">
        <f t="shared" ca="1" si="5"/>
        <v>0.56980025671184198</v>
      </c>
      <c r="O14">
        <f t="shared" si="6"/>
        <v>1</v>
      </c>
      <c r="AA14" s="1926"/>
      <c r="AB14" s="47"/>
      <c r="AC14" s="47"/>
      <c r="AD14" s="47"/>
      <c r="AE14" s="47"/>
      <c r="AF14" s="47"/>
      <c r="AG14" s="47"/>
      <c r="AH14" s="47"/>
      <c r="AI14" s="47"/>
      <c r="AJ14" s="47"/>
      <c r="AK14" s="47">
        <v>1</v>
      </c>
      <c r="AL14" s="47">
        <f t="shared" si="7"/>
        <v>0.95490000000000019</v>
      </c>
      <c r="AM14" s="47">
        <f t="shared" si="8"/>
        <v>0.93280000000000007</v>
      </c>
      <c r="AN14" s="47">
        <f t="shared" si="9"/>
        <v>0.96179999999999999</v>
      </c>
      <c r="AO14" s="1929"/>
    </row>
    <row r="15" spans="1:42" ht="15.75" thickBot="1" x14ac:dyDescent="0.35">
      <c r="F15">
        <v>12</v>
      </c>
      <c r="G15">
        <v>0.55000000000000004</v>
      </c>
      <c r="H15" s="18">
        <f t="shared" si="0"/>
        <v>3.4557519189487729</v>
      </c>
      <c r="I15" s="18">
        <f t="shared" ca="1" si="1"/>
        <v>0.58656018164400481</v>
      </c>
      <c r="J15" s="19">
        <f t="shared" ca="1" si="2"/>
        <v>33.607422838628416</v>
      </c>
      <c r="K15">
        <f t="shared" ca="1" si="3"/>
        <v>0.83284954019949509</v>
      </c>
      <c r="L15">
        <f t="shared" ca="1" si="4"/>
        <v>0.69363835661051043</v>
      </c>
      <c r="M15">
        <f t="shared" ca="1" si="5"/>
        <v>0.57769638636779697</v>
      </c>
      <c r="O15">
        <f t="shared" si="6"/>
        <v>0.95105651629515353</v>
      </c>
      <c r="W15" t="s">
        <v>1714</v>
      </c>
      <c r="X15" s="22">
        <f ca="1">vRImax</f>
        <v>30</v>
      </c>
      <c r="AA15" s="1930"/>
      <c r="AB15" s="1931"/>
      <c r="AC15" s="1931"/>
      <c r="AD15" s="1931"/>
      <c r="AE15" s="1931"/>
      <c r="AF15" s="1931"/>
      <c r="AG15" s="1931"/>
      <c r="AH15" s="1931"/>
      <c r="AI15" s="1931"/>
      <c r="AJ15" s="1931"/>
      <c r="AK15" s="1931"/>
      <c r="AL15" s="1931"/>
      <c r="AM15" s="1931"/>
      <c r="AN15" s="1931"/>
      <c r="AO15" s="1932"/>
    </row>
    <row r="16" spans="1:42" x14ac:dyDescent="0.25">
      <c r="F16">
        <v>13</v>
      </c>
      <c r="G16">
        <v>0.6</v>
      </c>
      <c r="H16" s="18">
        <f t="shared" si="0"/>
        <v>3.7699111843077517</v>
      </c>
      <c r="I16" s="18">
        <f t="shared" ca="1" si="1"/>
        <v>0.56626187343123213</v>
      </c>
      <c r="J16" s="19">
        <f t="shared" ca="1" si="2"/>
        <v>32.444415446780802</v>
      </c>
      <c r="K16">
        <f t="shared" ca="1" si="3"/>
        <v>0.84391230118027516</v>
      </c>
      <c r="L16">
        <f t="shared" ca="1" si="4"/>
        <v>0.71218797208338747</v>
      </c>
      <c r="M16">
        <f t="shared" ca="1" si="5"/>
        <v>0.60102419039380506</v>
      </c>
      <c r="O16">
        <f t="shared" si="6"/>
        <v>0.80901699437494756</v>
      </c>
      <c r="W16" s="1947"/>
      <c r="X16" s="1947" t="s">
        <v>1715</v>
      </c>
      <c r="Y16" s="1947"/>
      <c r="AA16" s="89" t="s">
        <v>1711</v>
      </c>
      <c r="AL16" s="1928" t="s">
        <v>433</v>
      </c>
      <c r="AM16" s="1928" t="s">
        <v>23</v>
      </c>
      <c r="AN16" s="1928" t="s">
        <v>216</v>
      </c>
      <c r="AO16" s="89" t="s">
        <v>274</v>
      </c>
      <c r="AP16" s="1928" t="s">
        <v>1713</v>
      </c>
    </row>
    <row r="17" spans="4:42" x14ac:dyDescent="0.3">
      <c r="F17">
        <v>14</v>
      </c>
      <c r="G17">
        <v>0.65</v>
      </c>
      <c r="H17" s="18">
        <f t="shared" si="0"/>
        <v>4.0840704496667311</v>
      </c>
      <c r="I17" s="18">
        <f t="shared" ca="1" si="1"/>
        <v>0.53328261142258682</v>
      </c>
      <c r="J17" s="19">
        <f t="shared" ca="1" si="2"/>
        <v>30.554842922229291</v>
      </c>
      <c r="K17">
        <f t="shared" ca="1" si="3"/>
        <v>0.86114295537379515</v>
      </c>
      <c r="L17">
        <f t="shared" ca="1" si="4"/>
        <v>0.74156718958991419</v>
      </c>
      <c r="M17">
        <f t="shared" ca="1" si="5"/>
        <v>0.63859536125169813</v>
      </c>
      <c r="O17">
        <f t="shared" si="6"/>
        <v>0.58778525229247325</v>
      </c>
      <c r="AK17" s="1944" t="s">
        <v>141</v>
      </c>
      <c r="AL17" s="1941">
        <v>1</v>
      </c>
      <c r="AM17" s="1941">
        <v>0.97</v>
      </c>
      <c r="AN17" s="1941">
        <v>1</v>
      </c>
      <c r="AO17" s="1941">
        <v>1</v>
      </c>
      <c r="AP17" s="1945">
        <f ca="1">Performance!C31</f>
        <v>1</v>
      </c>
    </row>
    <row r="18" spans="4:42" x14ac:dyDescent="0.3">
      <c r="F18">
        <v>15</v>
      </c>
      <c r="G18">
        <v>0.7</v>
      </c>
      <c r="H18" s="18">
        <f t="shared" si="0"/>
        <v>4.3982297150257104</v>
      </c>
      <c r="I18" s="18">
        <f t="shared" ca="1" si="1"/>
        <v>0.48888970910658824</v>
      </c>
      <c r="J18" s="19">
        <f t="shared" ca="1" si="2"/>
        <v>28.011316979186034</v>
      </c>
      <c r="K18">
        <f t="shared" ca="1" si="3"/>
        <v>0.88285484629456668</v>
      </c>
      <c r="L18">
        <f t="shared" ca="1" si="4"/>
        <v>0.77943267962580298</v>
      </c>
      <c r="M18">
        <f t="shared" ca="1" si="5"/>
        <v>0.68812591856800054</v>
      </c>
      <c r="O18">
        <f t="shared" si="6"/>
        <v>0.30901699437494756</v>
      </c>
      <c r="AK18" s="1944" t="s">
        <v>139</v>
      </c>
      <c r="AL18" s="1940">
        <f>MAX(AL4:AL14)</f>
        <v>0.95490000000000019</v>
      </c>
      <c r="AM18" s="1940">
        <f t="shared" ref="AM18:AN18" si="12">MAX(AM4:AM14)</f>
        <v>0.93280000000000007</v>
      </c>
      <c r="AN18" s="1940">
        <f t="shared" si="12"/>
        <v>0.96179999999999999</v>
      </c>
      <c r="AO18" s="1945">
        <f ca="1">Scenarios!D53</f>
        <v>0.95</v>
      </c>
      <c r="AP18" s="1943" t="str">
        <f ca="1">Scenarios!D52</f>
        <v>E</v>
      </c>
    </row>
    <row r="19" spans="4:42" x14ac:dyDescent="0.3">
      <c r="F19">
        <v>16</v>
      </c>
      <c r="G19">
        <v>0.75</v>
      </c>
      <c r="H19" s="18">
        <f t="shared" si="0"/>
        <v>4.7123889803846897</v>
      </c>
      <c r="I19" s="18">
        <f t="shared" ca="1" si="1"/>
        <v>0.43487511566854842</v>
      </c>
      <c r="J19" s="19">
        <f t="shared" ca="1" si="2"/>
        <v>24.916508743071319</v>
      </c>
      <c r="K19">
        <f t="shared" ca="1" si="3"/>
        <v>0.90692266278362499</v>
      </c>
      <c r="L19">
        <f t="shared" ca="1" si="4"/>
        <v>0.82250871627054079</v>
      </c>
      <c r="M19">
        <f t="shared" ca="1" si="5"/>
        <v>0.74595179512281995</v>
      </c>
      <c r="O19">
        <f t="shared" si="6"/>
        <v>1.83772268236293E-16</v>
      </c>
      <c r="X19" s="19"/>
      <c r="Y19" s="19"/>
      <c r="Z19" s="19"/>
    </row>
    <row r="20" spans="4:42" x14ac:dyDescent="0.3">
      <c r="F20">
        <v>17</v>
      </c>
      <c r="G20">
        <v>0.8</v>
      </c>
      <c r="H20" s="18">
        <f t="shared" si="0"/>
        <v>5.026548245743669</v>
      </c>
      <c r="I20" s="18">
        <f t="shared" ca="1" si="1"/>
        <v>0.37367948384124849</v>
      </c>
      <c r="J20" s="19">
        <f ca="1">I20*180/PI()</f>
        <v>21.410257314730583</v>
      </c>
      <c r="K20">
        <f t="shared" ca="1" si="3"/>
        <v>0.9309904792726833</v>
      </c>
      <c r="L20">
        <f t="shared" ca="1" si="4"/>
        <v>0.86674327249638061</v>
      </c>
      <c r="M20">
        <f t="shared" ca="1" si="5"/>
        <v>0.80692973466777929</v>
      </c>
      <c r="O20">
        <f t="shared" si="6"/>
        <v>0.30901699437494723</v>
      </c>
      <c r="X20" s="19"/>
      <c r="Y20" s="19"/>
      <c r="Z20" s="19"/>
      <c r="AK20" s="683" t="s">
        <v>1720</v>
      </c>
      <c r="AL20" s="684"/>
      <c r="AM20" s="1950">
        <f ca="1">AM66/BI96/AP17</f>
        <v>0.86834814565704188</v>
      </c>
    </row>
    <row r="21" spans="4:42" x14ac:dyDescent="0.3">
      <c r="F21">
        <v>18</v>
      </c>
      <c r="G21">
        <v>0.85</v>
      </c>
      <c r="H21" s="18">
        <f t="shared" si="0"/>
        <v>5.3407075111026483</v>
      </c>
      <c r="I21" s="18">
        <f t="shared" ca="1" si="1"/>
        <v>0.30878876078773887</v>
      </c>
      <c r="J21" s="19">
        <f t="shared" ca="1" si="2"/>
        <v>17.692292754212207</v>
      </c>
      <c r="K21">
        <f t="shared" ca="1" si="3"/>
        <v>0.95270237019345472</v>
      </c>
      <c r="L21">
        <f t="shared" ca="1" si="4"/>
        <v>0.90764180617222645</v>
      </c>
      <c r="M21">
        <f t="shared" ca="1" si="5"/>
        <v>0.86471250002694833</v>
      </c>
      <c r="O21">
        <f t="shared" si="6"/>
        <v>0.58778525229247292</v>
      </c>
      <c r="X21" s="19"/>
      <c r="Y21" s="92"/>
      <c r="Z21" s="19"/>
      <c r="AK21" s="1955" t="s">
        <v>1731</v>
      </c>
      <c r="AL21" s="1955"/>
      <c r="AM21" s="1954">
        <f ca="1">AM20*AP17</f>
        <v>0.86834814565704188</v>
      </c>
    </row>
    <row r="22" spans="4:42" x14ac:dyDescent="0.3">
      <c r="F22">
        <v>19</v>
      </c>
      <c r="G22">
        <v>0.9</v>
      </c>
      <c r="H22" s="18">
        <f t="shared" si="0"/>
        <v>5.6548667764616276</v>
      </c>
      <c r="I22" s="18">
        <f t="shared" ca="1" si="1"/>
        <v>0.24584086712004316</v>
      </c>
      <c r="J22" s="19">
        <f t="shared" ca="1" si="2"/>
        <v>14.085644117814962</v>
      </c>
      <c r="K22">
        <f t="shared" ca="1" si="3"/>
        <v>0.96993302438697493</v>
      </c>
      <c r="L22">
        <f t="shared" ca="1" si="4"/>
        <v>0.9407700717964641</v>
      </c>
      <c r="M22">
        <f t="shared" ca="1" si="5"/>
        <v>0.91248396099029594</v>
      </c>
      <c r="O22">
        <f t="shared" si="6"/>
        <v>0.80901699437494734</v>
      </c>
      <c r="X22" s="19"/>
      <c r="Y22" s="19"/>
      <c r="Z22" s="19"/>
    </row>
    <row r="23" spans="4:42" x14ac:dyDescent="0.3">
      <c r="F23">
        <v>20</v>
      </c>
      <c r="G23">
        <v>0.95</v>
      </c>
      <c r="H23" s="18">
        <f t="shared" si="0"/>
        <v>5.9690260418206069</v>
      </c>
      <c r="I23" s="18">
        <f t="shared" ca="1" si="1"/>
        <v>0.19526758521557075</v>
      </c>
      <c r="J23" s="19">
        <f t="shared" ca="1" si="2"/>
        <v>11.188008508563355</v>
      </c>
      <c r="K23">
        <f t="shared" ca="1" si="3"/>
        <v>0.980995785367755</v>
      </c>
      <c r="L23">
        <f t="shared" ca="1" si="4"/>
        <v>0.9623527309092984</v>
      </c>
      <c r="M23">
        <f t="shared" ca="1" si="5"/>
        <v>0.944063973059171</v>
      </c>
      <c r="O23">
        <f t="shared" si="6"/>
        <v>0.95105651629515353</v>
      </c>
      <c r="X23" s="19"/>
      <c r="Y23" s="19"/>
      <c r="Z23" s="19"/>
    </row>
    <row r="24" spans="4:42" x14ac:dyDescent="0.3">
      <c r="G24">
        <v>1</v>
      </c>
      <c r="H24" s="18">
        <f t="shared" si="0"/>
        <v>6.2831853071795862</v>
      </c>
      <c r="I24" s="18">
        <f t="shared" ca="1" si="1"/>
        <v>0.17453292519943253</v>
      </c>
      <c r="J24" s="19">
        <f ca="1">I24*180/PI()</f>
        <v>9.9999999999999769</v>
      </c>
      <c r="K24">
        <f t="shared" ca="1" si="3"/>
        <v>0.98480775301220813</v>
      </c>
      <c r="L24">
        <f t="shared" ca="1" si="4"/>
        <v>0.96984631039295432</v>
      </c>
      <c r="M24">
        <f t="shared" ca="1" si="5"/>
        <v>0.95511216570526591</v>
      </c>
      <c r="O24">
        <f t="shared" si="6"/>
        <v>1</v>
      </c>
      <c r="X24" s="15"/>
      <c r="Y24" s="15"/>
      <c r="Z24" s="15"/>
    </row>
    <row r="25" spans="4:42" x14ac:dyDescent="0.3">
      <c r="H25" s="89" t="s">
        <v>58</v>
      </c>
      <c r="I25" s="93">
        <f ca="1">SUM(I4:I23)/$F23</f>
        <v>0.41174186236763133</v>
      </c>
      <c r="J25" s="94">
        <f ca="1">SUM(J4:J23)/$F23</f>
        <v>23.591070962521691</v>
      </c>
      <c r="K25" s="94">
        <f ca="1">ACOS(SUM(K4:K23)/$F23)</f>
        <v>0.4348751156685482</v>
      </c>
      <c r="L25" s="94">
        <f ca="1">ACOS(SQRT(SUM(L4:L23)/$F23))</f>
        <v>0.43089260584938271</v>
      </c>
      <c r="M25" s="94">
        <f ca="1">ACOS((SUM(M4:M23)/$F23)^(1/3))</f>
        <v>0.42689746264368678</v>
      </c>
      <c r="O25" s="89">
        <f>AVERAGE(O4:O23)</f>
        <v>0.63137515146750434</v>
      </c>
      <c r="AA25" s="89"/>
      <c r="AB25" s="89"/>
    </row>
    <row r="26" spans="4:42" x14ac:dyDescent="0.3">
      <c r="H26" s="89" t="s">
        <v>62</v>
      </c>
      <c r="I26" s="94">
        <f ca="1">COS(I25)</f>
        <v>0.91642510926921938</v>
      </c>
      <c r="J26" s="94"/>
      <c r="K26" s="93">
        <f ca="1">COS(K25)</f>
        <v>0.9069226627836251</v>
      </c>
      <c r="L26" s="94">
        <f ca="1">COS(L25)</f>
        <v>0.90859328630058556</v>
      </c>
      <c r="M26" s="93">
        <f ca="1">COS(M25)</f>
        <v>0.91025473010766833</v>
      </c>
      <c r="O26" s="89"/>
      <c r="AA26" s="89"/>
      <c r="AB26" s="89"/>
    </row>
    <row r="27" spans="4:42" x14ac:dyDescent="0.3">
      <c r="D27" t="s">
        <v>731</v>
      </c>
      <c r="H27" s="89" t="s">
        <v>70</v>
      </c>
      <c r="I27" s="94"/>
      <c r="K27" s="1">
        <f ca="1">(K25-$I25)/$I25</f>
        <v>5.6183874935364031E-2</v>
      </c>
      <c r="L27" s="1">
        <f ca="1">(L25-$I25)/$I25</f>
        <v>4.651152878074926E-2</v>
      </c>
      <c r="M27" s="1">
        <f ca="1">(M25-$I25)/$I25</f>
        <v>3.6808499842368447E-2</v>
      </c>
      <c r="X27" t="s">
        <v>46</v>
      </c>
      <c r="AA27" s="89"/>
      <c r="AB27" s="94"/>
      <c r="AC27" s="89"/>
    </row>
    <row r="28" spans="4:42" x14ac:dyDescent="0.3">
      <c r="H28" s="89" t="s">
        <v>69</v>
      </c>
      <c r="I28" s="1">
        <f ca="1">(I25-$D$2)/$D$2</f>
        <v>7.2321407387349698E-2</v>
      </c>
      <c r="J28" s="1"/>
      <c r="K28" s="1">
        <f ca="1">(K25-$D$2)/$D$2</f>
        <v>0.1325685792305141</v>
      </c>
      <c r="L28" s="1">
        <f ca="1">(L25-$D$2)/$D$2</f>
        <v>0.12219671538925997</v>
      </c>
      <c r="M28" s="1">
        <f ca="1">(M25-$D$2)/$D$2</f>
        <v>0.11179194974213527</v>
      </c>
      <c r="P28" s="95">
        <f ca="1">1+(P3-1)*O25</f>
        <v>1.1124183787085498</v>
      </c>
    </row>
    <row r="29" spans="4:42" x14ac:dyDescent="0.3">
      <c r="H29" s="89" t="s">
        <v>59</v>
      </c>
      <c r="P29" s="89" t="s">
        <v>68</v>
      </c>
    </row>
    <row r="30" spans="4:42" x14ac:dyDescent="0.3">
      <c r="P30" s="17" t="s">
        <v>169</v>
      </c>
      <c r="Q30" s="17"/>
      <c r="R30" s="17"/>
    </row>
    <row r="38" spans="27:65" x14ac:dyDescent="0.3">
      <c r="AL38" s="85"/>
    </row>
    <row r="39" spans="27:65" x14ac:dyDescent="0.3">
      <c r="AH39" t="s">
        <v>115</v>
      </c>
    </row>
    <row r="40" spans="27:65" x14ac:dyDescent="0.3">
      <c r="AA40" s="89" t="s">
        <v>76</v>
      </c>
      <c r="AB40" s="89" t="s">
        <v>65</v>
      </c>
      <c r="AC40" s="89" t="s">
        <v>113</v>
      </c>
      <c r="AD40" s="89"/>
      <c r="AE40" s="89" t="s">
        <v>111</v>
      </c>
      <c r="AF40" s="89" t="s">
        <v>25</v>
      </c>
      <c r="AG40" s="89" t="s">
        <v>78</v>
      </c>
      <c r="AH40" s="89" t="s">
        <v>81</v>
      </c>
      <c r="AI40" s="89" t="s">
        <v>79</v>
      </c>
      <c r="AJ40" s="89" t="s">
        <v>114</v>
      </c>
      <c r="AK40" s="89" t="s">
        <v>118</v>
      </c>
      <c r="AL40" s="89" t="s">
        <v>77</v>
      </c>
      <c r="AM40" s="89" t="s">
        <v>17</v>
      </c>
      <c r="AN40" s="89" t="s">
        <v>1721</v>
      </c>
      <c r="AO40" s="89">
        <v>1</v>
      </c>
      <c r="AP40" s="89">
        <v>2</v>
      </c>
      <c r="AQ40" s="89">
        <v>3</v>
      </c>
      <c r="AR40" s="89">
        <v>4</v>
      </c>
      <c r="AS40" s="89">
        <v>5</v>
      </c>
      <c r="AT40" s="89">
        <v>6</v>
      </c>
      <c r="AU40" s="89">
        <v>7</v>
      </c>
      <c r="AV40" s="89">
        <v>8</v>
      </c>
      <c r="AW40" s="89">
        <v>9</v>
      </c>
      <c r="AX40" s="89">
        <v>10</v>
      </c>
      <c r="AY40" s="89">
        <v>11</v>
      </c>
      <c r="AZ40" s="89">
        <v>12</v>
      </c>
      <c r="BA40" s="89">
        <v>13</v>
      </c>
      <c r="BB40" s="89">
        <v>14</v>
      </c>
      <c r="BC40" s="89">
        <v>15</v>
      </c>
      <c r="BD40" s="89">
        <v>16</v>
      </c>
      <c r="BE40" s="89">
        <v>17</v>
      </c>
      <c r="BF40" s="89">
        <v>18</v>
      </c>
      <c r="BG40" s="89">
        <v>19</v>
      </c>
      <c r="BH40" s="89">
        <v>20</v>
      </c>
      <c r="BI40" t="s">
        <v>120</v>
      </c>
      <c r="BJ40" t="s">
        <v>124</v>
      </c>
      <c r="BK40" t="s">
        <v>130</v>
      </c>
      <c r="BL40" s="25"/>
      <c r="BM40" s="25"/>
    </row>
    <row r="41" spans="27:65" x14ac:dyDescent="0.3">
      <c r="AA41" s="89">
        <v>1</v>
      </c>
      <c r="AB41" s="23">
        <f ca="1">Performance!B84</f>
        <v>215.32125331349559</v>
      </c>
      <c r="AC41" s="23">
        <f ca="1">Performance!D84</f>
        <v>0</v>
      </c>
      <c r="AD41" s="23"/>
      <c r="AE41" s="23">
        <f ca="1">Performance!G84</f>
        <v>0</v>
      </c>
      <c r="AF41">
        <f t="shared" ref="AF41:AF65" ca="1" si="13">SQRT((X$10^2+X$11^2)/(AB41^2+X$5^2))</f>
        <v>3.6562827069262891E-3</v>
      </c>
      <c r="AG41">
        <f ca="1">1/SQRT(AF41)</f>
        <v>16.53789064234088</v>
      </c>
      <c r="AH41">
        <f t="shared" ref="AH41:AH65" ca="1" si="14">AF41*(X$11*AB41-X$10*X$5)/(X$10^2+X$11^2)</f>
        <v>-0.97821306164628052</v>
      </c>
      <c r="AI41" s="23">
        <f ca="1">ASIN(AH41)</f>
        <v>-1.3616718996914388</v>
      </c>
      <c r="AJ41">
        <f t="shared" ref="AJ41:AJ65" ca="1" si="15">X$7/(X$6^1.5)*SQRT(AB41/(0.5*rho*X$8))</f>
        <v>0.60107924392291923</v>
      </c>
      <c r="AK41">
        <f ca="1">AG41*AH41</f>
        <v>-16.177580638415645</v>
      </c>
      <c r="AL41">
        <f t="shared" ref="AL41:AL65" ca="1" si="16">(AJ41-AK41)*$I$26</f>
        <v>15.376385216063184</v>
      </c>
      <c r="AM41" s="16">
        <f ca="1">SUM(AO41:BH41)/20</f>
        <v>-169.18331666476155</v>
      </c>
      <c r="AN41" s="16">
        <f ca="1">MAX(0,AM41/ABS(BI71))</f>
        <v>0</v>
      </c>
      <c r="AO41">
        <f ca="1">MIN($AB41*$AP$17*($AE41+SIN(AO$40/20*2*PI())*$AL41),$X$9*$X$12)*AO100</f>
        <v>864.3976319298265</v>
      </c>
      <c r="AP41">
        <f t="shared" ref="AP41:BH55" ca="1" si="17">MIN($AB41*$AP$17*($AE41+SIN(AP$40/20*2*PI())*$AL41),$X$9*$X$12)*AP100</f>
        <v>1764.9864161463429</v>
      </c>
      <c r="AQ41">
        <f t="shared" ca="1" si="17"/>
        <v>2496.8457434938628</v>
      </c>
      <c r="AR41">
        <f t="shared" ca="1" si="17"/>
        <v>2960.3100680616558</v>
      </c>
      <c r="AS41">
        <f t="shared" ca="1" si="17"/>
        <v>3117.9658558402512</v>
      </c>
      <c r="AT41">
        <f t="shared" ca="1" si="17"/>
        <v>2960.3100680616562</v>
      </c>
      <c r="AU41">
        <f t="shared" ca="1" si="17"/>
        <v>2496.8457434938628</v>
      </c>
      <c r="AV41">
        <f t="shared" ca="1" si="17"/>
        <v>1764.9864161463431</v>
      </c>
      <c r="AW41">
        <f t="shared" ca="1" si="17"/>
        <v>864.39763192982696</v>
      </c>
      <c r="AX41">
        <f t="shared" ca="1" si="17"/>
        <v>2.9339204306181905E-13</v>
      </c>
      <c r="AY41">
        <f t="shared" ca="1" si="17"/>
        <v>-1210.970208390092</v>
      </c>
      <c r="AZ41">
        <f t="shared" ca="1" si="17"/>
        <v>-2145.7459554083562</v>
      </c>
      <c r="BA41">
        <f t="shared" ca="1" si="17"/>
        <v>-2873.4647657771484</v>
      </c>
      <c r="BB41">
        <f t="shared" ca="1" si="17"/>
        <v>-3349.3285246734822</v>
      </c>
      <c r="BC41">
        <f t="shared" ca="1" si="17"/>
        <v>-3515.6929999007002</v>
      </c>
      <c r="BD41">
        <f t="shared" ca="1" si="17"/>
        <v>-3349.3285246734827</v>
      </c>
      <c r="BE41">
        <f t="shared" ca="1" si="17"/>
        <v>-2873.4647657771488</v>
      </c>
      <c r="BF41">
        <f t="shared" ca="1" si="17"/>
        <v>-2145.7459554083571</v>
      </c>
      <c r="BG41">
        <f t="shared" ca="1" si="17"/>
        <v>-1210.9702083900916</v>
      </c>
      <c r="BH41">
        <f t="shared" ca="1" si="17"/>
        <v>-1.1216087710725006E-12</v>
      </c>
      <c r="BI41">
        <f ca="1">(MIN(AO41:BH41)&gt;0)*AA41</f>
        <v>0</v>
      </c>
      <c r="BJ41">
        <f t="shared" ref="BJ41:BJ65" ca="1" si="18">(MAX((AO41:BH41))&gt;($X$9*$X$12-1))*AA41*(MAX((AO40:BH40))&lt;($X$9*$X$12-1))*(1+(($X$9*$X$12-MAX((AO40:BH40)))/(0.0000001+MAX((AO40:BH40))-MAX((AO39:BH39)))-1)/AA41)</f>
        <v>0</v>
      </c>
      <c r="BK41">
        <f ca="1">AA41*(AB41&gt;AB$65-1)</f>
        <v>0</v>
      </c>
    </row>
    <row r="42" spans="27:65" x14ac:dyDescent="0.3">
      <c r="AA42" s="89">
        <v>2</v>
      </c>
      <c r="AB42" s="23">
        <f ca="1">Performance!B85</f>
        <v>861.28501325398236</v>
      </c>
      <c r="AC42" s="23">
        <f ca="1">Performance!D85</f>
        <v>0</v>
      </c>
      <c r="AD42" s="23"/>
      <c r="AE42" s="23">
        <f ca="1">Performance!G85</f>
        <v>0</v>
      </c>
      <c r="AF42">
        <f t="shared" ca="1" si="13"/>
        <v>3.5843421905511065E-3</v>
      </c>
      <c r="AG42">
        <f t="shared" ref="AG42:AG64" ca="1" si="19">1/SQRT(AF42)</f>
        <v>16.703030258657673</v>
      </c>
      <c r="AH42">
        <f t="shared" ca="1" si="14"/>
        <v>-0.93504213578204087</v>
      </c>
      <c r="AI42" s="23">
        <f t="shared" ref="AI42:AI65" ca="1" si="20">ASIN(AH42)</f>
        <v>-1.2083778933669176</v>
      </c>
      <c r="AJ42">
        <f t="shared" ca="1" si="15"/>
        <v>1.2021584878458385</v>
      </c>
      <c r="AK42">
        <f ca="1">AG42*AH42</f>
        <v>-15.618037087087325</v>
      </c>
      <c r="AL42">
        <f t="shared" ca="1" si="16"/>
        <v>15.414449567687763</v>
      </c>
      <c r="AM42" s="16">
        <f t="shared" ref="AM42:AM65" ca="1" si="21">SUM(AO42:BH42)/20</f>
        <v>-677.1074792148529</v>
      </c>
      <c r="AN42" s="16">
        <f ca="1">MAX(0,AM42/ABS(BI72))</f>
        <v>0</v>
      </c>
      <c r="AO42">
        <f t="shared" ref="AO42:BD65" ca="1" si="22">MIN($AB42*$AP$17*($AE42+SIN(AO$40/20*2*PI())*$AL42),$X$9*$X$12)*AO101</f>
        <v>3467.0776710953869</v>
      </c>
      <c r="AP42">
        <f t="shared" ca="1" si="22"/>
        <v>7079.1962474552865</v>
      </c>
      <c r="AQ42">
        <f t="shared" ca="1" si="22"/>
        <v>10013.73289243269</v>
      </c>
      <c r="AR42">
        <f t="shared" ca="1" si="22"/>
        <v>11871.678828042635</v>
      </c>
      <c r="AS42">
        <f t="shared" ca="1" si="22"/>
        <v>12503.638065168054</v>
      </c>
      <c r="AT42">
        <f t="shared" ca="1" si="22"/>
        <v>11871.678828042637</v>
      </c>
      <c r="AU42">
        <f t="shared" ca="1" si="22"/>
        <v>10013.73289243269</v>
      </c>
      <c r="AV42">
        <f t="shared" ca="1" si="22"/>
        <v>7079.1962474552884</v>
      </c>
      <c r="AW42">
        <f t="shared" ca="1" si="22"/>
        <v>3467.0776710953887</v>
      </c>
      <c r="AX42">
        <f t="shared" ca="1" si="22"/>
        <v>1.1764733486548733E-12</v>
      </c>
      <c r="AY42">
        <f t="shared" ca="1" si="22"/>
        <v>-4854.572375248229</v>
      </c>
      <c r="AZ42">
        <f t="shared" ca="1" si="22"/>
        <v>-8602.0753371756418</v>
      </c>
      <c r="BA42">
        <f t="shared" ca="1" si="22"/>
        <v>-11520.441142304157</v>
      </c>
      <c r="BB42">
        <f t="shared" ca="1" si="22"/>
        <v>-13429.20598456197</v>
      </c>
      <c r="BC42">
        <f t="shared" ca="1" si="22"/>
        <v>-14096.569248937105</v>
      </c>
      <c r="BD42">
        <f t="shared" ca="1" si="22"/>
        <v>-13429.205984561971</v>
      </c>
      <c r="BE42">
        <f t="shared" ca="1" si="17"/>
        <v>-11520.441142304158</v>
      </c>
      <c r="BF42">
        <f t="shared" ca="1" si="17"/>
        <v>-8602.0753371756437</v>
      </c>
      <c r="BG42">
        <f t="shared" ca="1" si="17"/>
        <v>-4854.5723752482263</v>
      </c>
      <c r="BH42">
        <f t="shared" ca="1" si="17"/>
        <v>-4.4975412864428238E-12</v>
      </c>
      <c r="BI42">
        <f t="shared" ref="BI42:BI65" ca="1" si="23">(MIN(AO42:BH42)&gt;0)*AA42*(MIN(AO41:BH41)&lt;0)*(1+MIN(AO42:BH42)/(0.0000001+MIN(AO42:BH42)-MIN(AO41:BH41))/AA42)</f>
        <v>0</v>
      </c>
      <c r="BJ42">
        <f t="shared" ca="1" si="18"/>
        <v>0</v>
      </c>
      <c r="BK42">
        <f ca="1">AA42*(AB42&gt;AB$65-1)</f>
        <v>0</v>
      </c>
    </row>
    <row r="43" spans="27:65" x14ac:dyDescent="0.3">
      <c r="AA43" s="89">
        <v>3</v>
      </c>
      <c r="AB43" s="23">
        <f ca="1">Performance!B86</f>
        <v>1937.8912798214601</v>
      </c>
      <c r="AC43" s="23">
        <f ca="1">Performance!D86</f>
        <v>3255.1517083850622</v>
      </c>
      <c r="AD43" s="23"/>
      <c r="AE43" s="23">
        <f ca="1">Performance!G86</f>
        <v>1.6797390763247373</v>
      </c>
      <c r="AF43">
        <f t="shared" ca="1" si="13"/>
        <v>3.315360178786665E-3</v>
      </c>
      <c r="AG43">
        <f t="shared" ca="1" si="19"/>
        <v>17.367393388703476</v>
      </c>
      <c r="AH43">
        <f t="shared" ca="1" si="14"/>
        <v>-0.82799249617705017</v>
      </c>
      <c r="AI43" s="23">
        <f t="shared" ca="1" si="20"/>
        <v>-0.97551806066490743</v>
      </c>
      <c r="AJ43">
        <f ca="1">X$7/(X$6^1.5)*SQRT(AB43/(0.5*rho*X$8))</f>
        <v>1.8032377317687576</v>
      </c>
      <c r="AK43">
        <f t="shared" ref="AK43:AK65" ca="1" si="24">AG43*AH43</f>
        <v>-14.38007140400139</v>
      </c>
      <c r="AL43">
        <f t="shared" ca="1" si="16"/>
        <v>14.830790843085715</v>
      </c>
      <c r="AM43" s="16">
        <f t="shared" ca="1" si="21"/>
        <v>1671.1896617253328</v>
      </c>
      <c r="AN43" s="16">
        <f t="shared" ref="AN43:AN64" ca="1" si="25">MAX(0,AM43/ABS(BI73))</f>
        <v>0.51339839474161997</v>
      </c>
      <c r="AO43">
        <f t="shared" ca="1" si="22"/>
        <v>10573.924729619652</v>
      </c>
      <c r="AP43">
        <f t="shared" ca="1" si="17"/>
        <v>18520.067737907466</v>
      </c>
      <c r="AQ43">
        <f t="shared" ca="1" si="17"/>
        <v>24845.705181350244</v>
      </c>
      <c r="AR43">
        <f t="shared" ca="1" si="17"/>
        <v>28827.127353447129</v>
      </c>
      <c r="AS43">
        <f t="shared" ca="1" si="17"/>
        <v>30180.411562360609</v>
      </c>
      <c r="AT43">
        <f t="shared" ca="1" si="17"/>
        <v>28827.127353447137</v>
      </c>
      <c r="AU43">
        <f t="shared" ca="1" si="17"/>
        <v>24845.705181350244</v>
      </c>
      <c r="AV43">
        <f t="shared" ca="1" si="17"/>
        <v>18520.067737907473</v>
      </c>
      <c r="AW43">
        <f t="shared" ca="1" si="17"/>
        <v>10573.924729619655</v>
      </c>
      <c r="AX43">
        <f t="shared" ca="1" si="17"/>
        <v>2518.0527656659419</v>
      </c>
      <c r="AY43">
        <f t="shared" ca="1" si="17"/>
        <v>-6989.074185080296</v>
      </c>
      <c r="AZ43">
        <f t="shared" ca="1" si="17"/>
        <v>-15448.745855933294</v>
      </c>
      <c r="BA43">
        <f t="shared" ca="1" si="17"/>
        <v>-21769.218717261549</v>
      </c>
      <c r="BB43">
        <f t="shared" ca="1" si="17"/>
        <v>-25832.87878425806</v>
      </c>
      <c r="BC43">
        <f t="shared" ca="1" si="17"/>
        <v>-27246.538778768427</v>
      </c>
      <c r="BD43">
        <f t="shared" ca="1" si="17"/>
        <v>-25832.87878425806</v>
      </c>
      <c r="BE43">
        <f t="shared" ca="1" si="17"/>
        <v>-21769.218717261556</v>
      </c>
      <c r="BF43">
        <f t="shared" ca="1" si="17"/>
        <v>-15448.745855933301</v>
      </c>
      <c r="BG43">
        <f t="shared" ca="1" si="17"/>
        <v>-6989.0741850802924</v>
      </c>
      <c r="BH43">
        <f t="shared" ca="1" si="17"/>
        <v>2518.0527656659333</v>
      </c>
      <c r="BI43">
        <f t="shared" ca="1" si="23"/>
        <v>0</v>
      </c>
      <c r="BJ43">
        <f t="shared" ca="1" si="18"/>
        <v>0</v>
      </c>
      <c r="BK43">
        <f t="shared" ref="BK43:BK65" ca="1" si="26">(AA43-1)*(AB43&gt;AB$65-1)*(AB42&lt;AB$65-1)*(1+(AB$65-AB42)/(0.0000001+AB42-AB41)/(AA43-1))</f>
        <v>0</v>
      </c>
    </row>
    <row r="44" spans="27:65" x14ac:dyDescent="0.3">
      <c r="AA44" s="89">
        <v>4</v>
      </c>
      <c r="AB44" s="23">
        <f ca="1">Performance!B87</f>
        <v>3445.1400530159294</v>
      </c>
      <c r="AC44" s="23">
        <f ca="1">Performance!D87</f>
        <v>6613.0282215621719</v>
      </c>
      <c r="AD44" s="23"/>
      <c r="AE44" s="23">
        <f ca="1">Performance!G87</f>
        <v>1.9195237696572085</v>
      </c>
      <c r="AF44">
        <f ca="1">SQRT((X$10^2+X$11^2)/(AB44^2+X$5^2))</f>
        <v>2.8131457238316712E-3</v>
      </c>
      <c r="AG44">
        <f t="shared" ca="1" si="19"/>
        <v>18.854016602461559</v>
      </c>
      <c r="AH44">
        <f t="shared" ca="1" si="14"/>
        <v>-0.6587557193685265</v>
      </c>
      <c r="AI44" s="23">
        <f t="shared" ca="1" si="20"/>
        <v>-0.71916371733364748</v>
      </c>
      <c r="AJ44">
        <f t="shared" ca="1" si="15"/>
        <v>2.4043169756916769</v>
      </c>
      <c r="AK44">
        <f t="shared" ca="1" si="24"/>
        <v>-12.420191269940707</v>
      </c>
      <c r="AL44">
        <f t="shared" ca="1" si="16"/>
        <v>13.585551588866101</v>
      </c>
      <c r="AM44" s="16">
        <f t="shared" ca="1" si="21"/>
        <v>3835.7561332064083</v>
      </c>
      <c r="AN44" s="16">
        <f t="shared" ca="1" si="25"/>
        <v>0.58003020774955993</v>
      </c>
      <c r="AO44">
        <f t="shared" ca="1" si="22"/>
        <v>18314.231127378262</v>
      </c>
      <c r="AP44">
        <f t="shared" ca="1" si="17"/>
        <v>31227.098609626188</v>
      </c>
      <c r="AQ44">
        <f t="shared" ca="1" si="17"/>
        <v>41558.299143478471</v>
      </c>
      <c r="AR44">
        <f t="shared" ca="1" si="17"/>
        <v>48091.950900405471</v>
      </c>
      <c r="AS44">
        <f t="shared" ca="1" si="17"/>
        <v>50316.965330834508</v>
      </c>
      <c r="AT44">
        <f t="shared" ca="1" si="17"/>
        <v>48091.950900405478</v>
      </c>
      <c r="AU44">
        <f t="shared" ca="1" si="17"/>
        <v>41558.299143478471</v>
      </c>
      <c r="AV44">
        <f t="shared" ca="1" si="17"/>
        <v>31227.098609626188</v>
      </c>
      <c r="AW44">
        <f t="shared" ca="1" si="17"/>
        <v>18314.231127378269</v>
      </c>
      <c r="AX44">
        <f t="shared" ca="1" si="17"/>
        <v>5158.504663046645</v>
      </c>
      <c r="AY44">
        <f t="shared" ca="1" si="17"/>
        <v>-9943.6997078283148</v>
      </c>
      <c r="AZ44">
        <f t="shared" ca="1" si="17"/>
        <v>-24072.585573637174</v>
      </c>
      <c r="BA44">
        <f t="shared" ca="1" si="17"/>
        <v>-34445.95509277306</v>
      </c>
      <c r="BB44">
        <f t="shared" ca="1" si="17"/>
        <v>-41032.892587955605</v>
      </c>
      <c r="BC44">
        <f t="shared" ca="1" si="17"/>
        <v>-43311.745630188067</v>
      </c>
      <c r="BD44">
        <f t="shared" ca="1" si="17"/>
        <v>-41032.892587955612</v>
      </c>
      <c r="BE44">
        <f t="shared" ca="1" si="17"/>
        <v>-34445.955092773067</v>
      </c>
      <c r="BF44">
        <f t="shared" ca="1" si="17"/>
        <v>-24072.585573637196</v>
      </c>
      <c r="BG44">
        <f t="shared" ca="1" si="17"/>
        <v>-9943.6997078283111</v>
      </c>
      <c r="BH44">
        <f t="shared" ca="1" si="17"/>
        <v>5158.5046630466304</v>
      </c>
      <c r="BI44">
        <f t="shared" ca="1" si="23"/>
        <v>0</v>
      </c>
      <c r="BJ44">
        <f t="shared" ca="1" si="18"/>
        <v>0</v>
      </c>
      <c r="BK44">
        <f t="shared" ca="1" si="26"/>
        <v>0</v>
      </c>
    </row>
    <row r="45" spans="27:65" x14ac:dyDescent="0.3">
      <c r="AA45" s="89">
        <v>5</v>
      </c>
      <c r="AB45" s="23">
        <f ca="1">Performance!B88</f>
        <v>5383.0313328373895</v>
      </c>
      <c r="AC45" s="23">
        <f ca="1">Performance!D88</f>
        <v>11456.879915433148</v>
      </c>
      <c r="AD45" s="23"/>
      <c r="AE45" s="23">
        <f ca="1">Performance!G88</f>
        <v>2.1283323850530591</v>
      </c>
      <c r="AF45">
        <f t="shared" ca="1" si="13"/>
        <v>2.230665887666764E-3</v>
      </c>
      <c r="AG45">
        <f t="shared" ca="1" si="19"/>
        <v>21.173016553068887</v>
      </c>
      <c r="AH45">
        <f t="shared" ca="1" si="14"/>
        <v>-0.47769030117857564</v>
      </c>
      <c r="AI45" s="23">
        <f t="shared" ca="1" si="20"/>
        <v>-0.4980237729892002</v>
      </c>
      <c r="AJ45">
        <f t="shared" ca="1" si="15"/>
        <v>3.005396219614596</v>
      </c>
      <c r="AK45">
        <f t="shared" ca="1" si="24"/>
        <v>-10.114144654094444</v>
      </c>
      <c r="AL45">
        <f t="shared" ca="1" si="16"/>
        <v>12.023076678750797</v>
      </c>
      <c r="AM45" s="16">
        <f ca="1">SUM(AO45:BH45)/20</f>
        <v>7208.489380986246</v>
      </c>
      <c r="AN45" s="16">
        <f t="shared" ca="1" si="25"/>
        <v>0.62918433589200429</v>
      </c>
      <c r="AO45">
        <f t="shared" ca="1" si="22"/>
        <v>27193.174477295874</v>
      </c>
      <c r="AP45">
        <f ca="1">MIN($AB45*$AP$17*($AE45+SIN(AP$40/20*2*PI())*$AL45),$X$9*$X$12)*AP104</f>
        <v>44970.814183355935</v>
      </c>
      <c r="AQ45">
        <f t="shared" ca="1" si="17"/>
        <v>59289.448242952683</v>
      </c>
      <c r="AR45">
        <f t="shared" ca="1" si="17"/>
        <v>68405.278697061163</v>
      </c>
      <c r="AS45">
        <f t="shared" ca="1" si="17"/>
        <v>71519.423727191708</v>
      </c>
      <c r="AT45">
        <f t="shared" ca="1" si="17"/>
        <v>68405.278697061163</v>
      </c>
      <c r="AU45">
        <f t="shared" ca="1" si="17"/>
        <v>59289.448242952683</v>
      </c>
      <c r="AV45">
        <f t="shared" ca="1" si="17"/>
        <v>44970.814183355942</v>
      </c>
      <c r="AW45">
        <f t="shared" ca="1" si="17"/>
        <v>27193.174477295877</v>
      </c>
      <c r="AX45">
        <f t="shared" ca="1" si="17"/>
        <v>9000.2017018873757</v>
      </c>
      <c r="AY45">
        <f t="shared" ca="1" si="17"/>
        <v>-11080.211099797882</v>
      </c>
      <c r="AZ45">
        <f t="shared" ca="1" si="17"/>
        <v>-31334.348496124676</v>
      </c>
      <c r="BA45">
        <f t="shared" ca="1" si="17"/>
        <v>-45940.013845469352</v>
      </c>
      <c r="BB45">
        <f t="shared" ca="1" si="17"/>
        <v>-55074.05412052555</v>
      </c>
      <c r="BC45">
        <f t="shared" ca="1" si="17"/>
        <v>-58210.215588737905</v>
      </c>
      <c r="BD45">
        <f t="shared" ca="1" si="17"/>
        <v>-55074.054120525572</v>
      </c>
      <c r="BE45">
        <f t="shared" ca="1" si="17"/>
        <v>-45940.013845469366</v>
      </c>
      <c r="BF45">
        <f t="shared" ca="1" si="17"/>
        <v>-31334.348496124698</v>
      </c>
      <c r="BG45">
        <f t="shared" ca="1" si="17"/>
        <v>-11080.211099797874</v>
      </c>
      <c r="BH45">
        <f t="shared" ca="1" si="17"/>
        <v>9000.2017018873576</v>
      </c>
      <c r="BI45">
        <f t="shared" ca="1" si="23"/>
        <v>0</v>
      </c>
      <c r="BJ45">
        <f t="shared" ca="1" si="18"/>
        <v>0</v>
      </c>
      <c r="BK45">
        <f t="shared" ca="1" si="26"/>
        <v>0</v>
      </c>
      <c r="BL45" s="1920"/>
    </row>
    <row r="46" spans="27:65" x14ac:dyDescent="0.3">
      <c r="AA46" s="89">
        <v>6</v>
      </c>
      <c r="AB46" s="23">
        <f ca="1">Performance!B89</f>
        <v>7751.5651192858404</v>
      </c>
      <c r="AC46" s="24">
        <f ca="1">Performance!D89</f>
        <v>18171.402821310439</v>
      </c>
      <c r="AD46" s="23"/>
      <c r="AE46" s="23">
        <f ca="1">Performance!G89</f>
        <v>2.3442237202007261</v>
      </c>
      <c r="AF46">
        <f ca="1">SQRT((X$10^2+X$11^2)/(AB46^2+X$5^2))</f>
        <v>1.7235247081888916E-3</v>
      </c>
      <c r="AG46">
        <f t="shared" ca="1" si="19"/>
        <v>24.087473125293133</v>
      </c>
      <c r="AH46">
        <f t="shared" ca="1" si="14"/>
        <v>-0.32690737108878692</v>
      </c>
      <c r="AI46" s="23">
        <f t="shared" ca="1" si="20"/>
        <v>-0.3330292871127068</v>
      </c>
      <c r="AJ46">
        <f ca="1">X$7/(X$6^1.5)*SQRT(AB46/(0.5*rho*X$8))</f>
        <v>3.6064754635375151</v>
      </c>
      <c r="AK46">
        <f ca="1">AG46*AH46</f>
        <v>-7.8743725155613848</v>
      </c>
      <c r="AL46">
        <f t="shared" ca="1" si="16"/>
        <v>10.521337363749007</v>
      </c>
      <c r="AM46" s="16">
        <f ca="1">SUM(AO46:BH46)/20</f>
        <v>12240.280882491686</v>
      </c>
      <c r="AN46" s="16">
        <f t="shared" ca="1" si="25"/>
        <v>0.67360131756789554</v>
      </c>
      <c r="AO46">
        <f ca="1">MIN($AB46*$AP$17*($AE46+SIN(AO$40/20*2*PI())*$AL46),$X$9*$X$12)*AO105</f>
        <v>37312.667515503119</v>
      </c>
      <c r="AP46">
        <f t="shared" ca="1" si="17"/>
        <v>59599.120615340049</v>
      </c>
      <c r="AQ46">
        <f t="shared" ca="1" si="17"/>
        <v>77641.865245590539</v>
      </c>
      <c r="AR46">
        <f t="shared" ca="1" si="17"/>
        <v>89199.676711890294</v>
      </c>
      <c r="AS46">
        <f t="shared" ca="1" si="17"/>
        <v>93161.355188432397</v>
      </c>
      <c r="AT46">
        <f t="shared" ca="1" si="17"/>
        <v>89199.676711890294</v>
      </c>
      <c r="AU46">
        <f t="shared" ca="1" si="17"/>
        <v>77641.865245590539</v>
      </c>
      <c r="AV46">
        <f t="shared" ca="1" si="17"/>
        <v>59599.120615340064</v>
      </c>
      <c r="AW46">
        <f t="shared" ca="1" si="17"/>
        <v>37312.667515503119</v>
      </c>
      <c r="AX46">
        <f t="shared" ca="1" si="17"/>
        <v>14376.296431829081</v>
      </c>
      <c r="AY46">
        <f t="shared" ca="1" si="17"/>
        <v>-9356.0652960299212</v>
      </c>
      <c r="AZ46">
        <f t="shared" ca="1" si="17"/>
        <v>-36023.774396075554</v>
      </c>
      <c r="BA46">
        <f t="shared" ca="1" si="17"/>
        <v>-54969.227600923659</v>
      </c>
      <c r="BB46">
        <f t="shared" ca="1" si="17"/>
        <v>-66646.308033548295</v>
      </c>
      <c r="BC46">
        <f t="shared" ca="1" si="17"/>
        <v>-70624.239925750022</v>
      </c>
      <c r="BD46">
        <f t="shared" ca="1" si="17"/>
        <v>-66646.308033548325</v>
      </c>
      <c r="BE46">
        <f t="shared" ca="1" si="17"/>
        <v>-54969.227600923688</v>
      </c>
      <c r="BF46">
        <f t="shared" ca="1" si="17"/>
        <v>-36023.774396075591</v>
      </c>
      <c r="BG46">
        <f t="shared" ca="1" si="17"/>
        <v>-9356.0652960299085</v>
      </c>
      <c r="BH46">
        <f t="shared" ca="1" si="17"/>
        <v>14376.296431829056</v>
      </c>
      <c r="BI46">
        <f t="shared" ca="1" si="23"/>
        <v>0</v>
      </c>
      <c r="BJ46">
        <f t="shared" ca="1" si="18"/>
        <v>0</v>
      </c>
      <c r="BK46">
        <f t="shared" ca="1" si="26"/>
        <v>0</v>
      </c>
    </row>
    <row r="47" spans="27:65" x14ac:dyDescent="0.3">
      <c r="AA47" s="89">
        <v>7</v>
      </c>
      <c r="AB47" s="23">
        <f ca="1">Performance!B90</f>
        <v>10550.741412361283</v>
      </c>
      <c r="AC47" s="23">
        <f ca="1">Performance!D90</f>
        <v>27195.643322442516</v>
      </c>
      <c r="AD47" s="23"/>
      <c r="AE47" s="23">
        <f ca="1">Performance!G90</f>
        <v>2.5776049530111704</v>
      </c>
      <c r="AF47">
        <f t="shared" ca="1" si="13"/>
        <v>1.3362352517738074E-3</v>
      </c>
      <c r="AG47">
        <f t="shared" ca="1" si="19"/>
        <v>27.356374317996803</v>
      </c>
      <c r="AH47">
        <f t="shared" ca="1" si="14"/>
        <v>-0.21480094571686431</v>
      </c>
      <c r="AI47" s="23">
        <f t="shared" ca="1" si="20"/>
        <v>-0.21648801358601477</v>
      </c>
      <c r="AJ47">
        <f t="shared" ca="1" si="15"/>
        <v>4.2075547074604343</v>
      </c>
      <c r="AK47">
        <f ca="1">AG47*AH47</f>
        <v>-5.8761750748902521</v>
      </c>
      <c r="AL47">
        <f ca="1">(AJ47-AK47)*$I$26</f>
        <v>9.2409831676320096</v>
      </c>
      <c r="AM47" s="16">
        <f t="shared" ca="1" si="21"/>
        <v>19488.737980663675</v>
      </c>
      <c r="AN47" s="16">
        <f t="shared" ca="1" si="25"/>
        <v>0.71661250111267216</v>
      </c>
      <c r="AO47">
        <f t="shared" ca="1" si="22"/>
        <v>49151.744407273858</v>
      </c>
      <c r="AP47">
        <f t="shared" ca="1" si="17"/>
        <v>75673.453826965488</v>
      </c>
      <c r="AQ47">
        <f t="shared" ca="1" si="17"/>
        <v>97204.778564344146</v>
      </c>
      <c r="AR47">
        <f t="shared" ca="1" si="17"/>
        <v>111059.90324922289</v>
      </c>
      <c r="AS47">
        <f t="shared" ca="1" si="17"/>
        <v>115822.17855369022</v>
      </c>
      <c r="AT47">
        <f t="shared" ca="1" si="17"/>
        <v>111059.90324922289</v>
      </c>
      <c r="AU47">
        <f t="shared" ca="1" si="17"/>
        <v>97204.778564344146</v>
      </c>
      <c r="AV47">
        <f t="shared" ca="1" si="17"/>
        <v>75673.453826965488</v>
      </c>
      <c r="AW47">
        <f t="shared" ca="1" si="17"/>
        <v>49151.744407273865</v>
      </c>
      <c r="AX47">
        <f t="shared" ca="1" si="17"/>
        <v>21675.817467590769</v>
      </c>
      <c r="AY47">
        <f t="shared" ca="1" si="17"/>
        <v>-4006.0453339680189</v>
      </c>
      <c r="AZ47">
        <f t="shared" ca="1" si="17"/>
        <v>-37462.847009693549</v>
      </c>
      <c r="BA47">
        <f t="shared" ca="1" si="17"/>
        <v>-60970.413290464043</v>
      </c>
      <c r="BB47">
        <f t="shared" ca="1" si="17"/>
        <v>-75285.718892102348</v>
      </c>
      <c r="BC47">
        <f t="shared" ca="1" si="17"/>
        <v>-80128.764918754896</v>
      </c>
      <c r="BD47">
        <f t="shared" ca="1" si="17"/>
        <v>-75285.718892102348</v>
      </c>
      <c r="BE47">
        <f t="shared" ca="1" si="17"/>
        <v>-60970.413290464072</v>
      </c>
      <c r="BF47">
        <f t="shared" ca="1" si="17"/>
        <v>-37462.8470096936</v>
      </c>
      <c r="BG47">
        <f t="shared" ca="1" si="17"/>
        <v>-4006.0453339680066</v>
      </c>
      <c r="BH47">
        <f t="shared" ca="1" si="17"/>
        <v>21675.817467590732</v>
      </c>
      <c r="BI47">
        <f t="shared" ca="1" si="23"/>
        <v>0</v>
      </c>
      <c r="BJ47">
        <f t="shared" ca="1" si="18"/>
        <v>0</v>
      </c>
      <c r="BK47">
        <f t="shared" ca="1" si="26"/>
        <v>0</v>
      </c>
    </row>
    <row r="48" spans="27:65" x14ac:dyDescent="0.3">
      <c r="AA48" s="89">
        <v>8</v>
      </c>
      <c r="AB48" s="23">
        <f ca="1">Performance!B91</f>
        <v>13780.560212063718</v>
      </c>
      <c r="AC48" s="23">
        <f ca="1">Performance!D91</f>
        <v>38966.269164701334</v>
      </c>
      <c r="AD48" s="23"/>
      <c r="AE48" s="23">
        <f ca="1">Performance!G91</f>
        <v>2.8276259139733413</v>
      </c>
      <c r="AF48">
        <f ca="1">SQRT((X$10^2+X$11^2)/(AB48^2+X$5^2))</f>
        <v>1.0524731733925264E-3</v>
      </c>
      <c r="AG48">
        <f ca="1">1/SQRT(AF48)</f>
        <v>30.82438941049783</v>
      </c>
      <c r="AH48">
        <f t="shared" ca="1" si="14"/>
        <v>-0.13406222032082263</v>
      </c>
      <c r="AI48" s="23">
        <f t="shared" ca="1" si="20"/>
        <v>-0.13446707953376993</v>
      </c>
      <c r="AJ48">
        <f t="shared" ca="1" si="15"/>
        <v>4.8086339513833538</v>
      </c>
      <c r="AK48">
        <f t="shared" ca="1" si="24"/>
        <v>-4.1323860844049918</v>
      </c>
      <c r="AL48">
        <f ca="1">(AJ48-AK48)*$I$26</f>
        <v>8.1937752632756133</v>
      </c>
      <c r="AM48" s="16">
        <f t="shared" ca="1" si="21"/>
        <v>29273.155299637408</v>
      </c>
      <c r="AN48" s="16">
        <f t="shared" ca="1" si="25"/>
        <v>0.75124347101095601</v>
      </c>
      <c r="AO48">
        <f ca="1">MIN($AB48*$AP$17*($AE48+SIN(AO$40/20*2*PI())*$AL48),$X$9*$X$12)*AO107</f>
        <v>63232.5240829779</v>
      </c>
      <c r="AP48">
        <f ca="1">MIN($AB48*$AP$17*($AE48+SIN(AP$40/20*2*PI())*$AL48),$X$9*$X$12)*AP107</f>
        <v>93848.347162648744</v>
      </c>
      <c r="AQ48">
        <f t="shared" ca="1" si="17"/>
        <v>118724.74361999505</v>
      </c>
      <c r="AR48">
        <f t="shared" ca="1" si="17"/>
        <v>134778.57674965664</v>
      </c>
      <c r="AS48">
        <f t="shared" ca="1" si="17"/>
        <v>140307.47052599862</v>
      </c>
      <c r="AT48">
        <f t="shared" ca="1" si="17"/>
        <v>134778.57674965664</v>
      </c>
      <c r="AU48">
        <f t="shared" ca="1" si="17"/>
        <v>118724.74361999505</v>
      </c>
      <c r="AV48">
        <f t="shared" ca="1" si="17"/>
        <v>93848.347162648744</v>
      </c>
      <c r="AW48">
        <f t="shared" ca="1" si="17"/>
        <v>63232.5240829779</v>
      </c>
      <c r="AX48">
        <f t="shared" ca="1" si="17"/>
        <v>31296.490240089774</v>
      </c>
      <c r="AY48">
        <f t="shared" ca="1" si="17"/>
        <v>2985.0559830507782</v>
      </c>
      <c r="AZ48">
        <f t="shared" ca="1" si="17"/>
        <v>-35047.61434482372</v>
      </c>
      <c r="BA48">
        <f t="shared" ca="1" si="17"/>
        <v>-63459.678496300774</v>
      </c>
      <c r="BB48">
        <f t="shared" ca="1" si="17"/>
        <v>-80598.597705657638</v>
      </c>
      <c r="BC48">
        <f t="shared" ca="1" si="17"/>
        <v>-86364.059116523887</v>
      </c>
      <c r="BD48">
        <f t="shared" ca="1" si="17"/>
        <v>-80598.597705657638</v>
      </c>
      <c r="BE48">
        <f t="shared" ca="1" si="17"/>
        <v>-63459.678496300818</v>
      </c>
      <c r="BF48">
        <f t="shared" ca="1" si="17"/>
        <v>-35047.614344823764</v>
      </c>
      <c r="BG48">
        <f t="shared" ca="1" si="17"/>
        <v>2985.0559830507877</v>
      </c>
      <c r="BH48">
        <f t="shared" ca="1" si="17"/>
        <v>31296.490240089737</v>
      </c>
      <c r="BI48">
        <f t="shared" ca="1" si="23"/>
        <v>0</v>
      </c>
      <c r="BJ48">
        <f t="shared" ca="1" si="18"/>
        <v>0</v>
      </c>
      <c r="BK48">
        <f t="shared" ca="1" si="26"/>
        <v>0</v>
      </c>
    </row>
    <row r="49" spans="27:63" x14ac:dyDescent="0.3">
      <c r="AA49" s="89">
        <v>9</v>
      </c>
      <c r="AB49" s="23">
        <f ca="1">Performance!B92</f>
        <v>17441.021518393143</v>
      </c>
      <c r="AC49" s="23">
        <f ca="1">Performance!D92</f>
        <v>53906.309565447416</v>
      </c>
      <c r="AD49" s="23"/>
      <c r="AE49" s="1981">
        <f ca="1">Performance!G92</f>
        <v>3.0907770802643819</v>
      </c>
      <c r="AF49">
        <f t="shared" ca="1" si="13"/>
        <v>8.4480124055709199E-4</v>
      </c>
      <c r="AG49">
        <f ca="1">1/SQRT(AF49)</f>
        <v>34.405092398914618</v>
      </c>
      <c r="AH49">
        <f ca="1">AF49*(X$11*AB49-X$10*X$5)/(X$10^2+X$11^2)</f>
        <v>-7.5657049642632673E-2</v>
      </c>
      <c r="AI49" s="23">
        <f ca="1">ASIN(AH49)</f>
        <v>-7.5729412879581987E-2</v>
      </c>
      <c r="AJ49">
        <f ca="1">X$7/(X$6^1.5)*SQRT(AB49/(0.5*rho*X$8))</f>
        <v>5.4097131953062734</v>
      </c>
      <c r="AK49">
        <f ca="1">AG49*AH49</f>
        <v>-2.6029877835840471</v>
      </c>
      <c r="AL49">
        <f t="shared" ca="1" si="16"/>
        <v>7.3430403701211429</v>
      </c>
      <c r="AM49" s="16">
        <f t="shared" ca="1" si="21"/>
        <v>42025.059131835478</v>
      </c>
      <c r="AN49" s="16">
        <f t="shared" ca="1" si="25"/>
        <v>0.77959443839896037</v>
      </c>
      <c r="AO49">
        <f ca="1">MIN($AB49*$AP$17*($AE49+SIN(AO$40/20*2*PI())*$AL49),$X$9*$X$12)*AO108</f>
        <v>80032.971710620681</v>
      </c>
      <c r="AP49">
        <f t="shared" ca="1" si="17"/>
        <v>114695.84262104861</v>
      </c>
      <c r="AQ49">
        <f t="shared" ca="1" si="17"/>
        <v>142849.07038315188</v>
      </c>
      <c r="AR49">
        <f t="shared" ca="1" si="17"/>
        <v>161047.00731903967</v>
      </c>
      <c r="AS49">
        <f t="shared" ca="1" si="17"/>
        <v>167322.39590546599</v>
      </c>
      <c r="AT49">
        <f t="shared" ca="1" si="17"/>
        <v>161047.00731903969</v>
      </c>
      <c r="AU49">
        <f ca="1">MIN($AB49*$AP$17*($AE49+SIN(AU$40/20*2*PI())*$AL49),$X$9*$X$12)*AU108</f>
        <v>142849.07038315188</v>
      </c>
      <c r="AV49">
        <f t="shared" ca="1" si="17"/>
        <v>114695.84262104862</v>
      </c>
      <c r="AW49">
        <f t="shared" ca="1" si="17"/>
        <v>80032.971710620681</v>
      </c>
      <c r="AX49">
        <f t="shared" ca="1" si="17"/>
        <v>43634.105798129131</v>
      </c>
      <c r="AY49">
        <f t="shared" ca="1" si="17"/>
        <v>10732.780308278425</v>
      </c>
      <c r="AZ49">
        <f t="shared" ca="1" si="17"/>
        <v>-28090.785046146542</v>
      </c>
      <c r="BA49">
        <f t="shared" ca="1" si="17"/>
        <v>-61844.227633409602</v>
      </c>
      <c r="BB49">
        <f t="shared" ca="1" si="17"/>
        <v>-82055.58353219433</v>
      </c>
      <c r="BC49">
        <f t="shared" ca="1" si="17"/>
        <v>-88823.57712579213</v>
      </c>
      <c r="BD49">
        <f t="shared" ca="1" si="17"/>
        <v>-82055.583532194345</v>
      </c>
      <c r="BE49">
        <f t="shared" ca="1" si="17"/>
        <v>-61844.227633409639</v>
      </c>
      <c r="BF49">
        <f t="shared" ca="1" si="17"/>
        <v>-28090.785046146597</v>
      </c>
      <c r="BG49">
        <f t="shared" ca="1" si="17"/>
        <v>10732.78030827843</v>
      </c>
      <c r="BH49">
        <f t="shared" ca="1" si="17"/>
        <v>43634.105798129094</v>
      </c>
      <c r="BI49">
        <f t="shared" ca="1" si="23"/>
        <v>0</v>
      </c>
      <c r="BJ49">
        <f t="shared" ca="1" si="18"/>
        <v>0</v>
      </c>
      <c r="BK49">
        <f t="shared" ca="1" si="26"/>
        <v>0</v>
      </c>
    </row>
    <row r="50" spans="27:63" x14ac:dyDescent="0.3">
      <c r="AA50" s="89">
        <v>10</v>
      </c>
      <c r="AB50" s="23">
        <f ca="1">Performance!B93</f>
        <v>21532.125331349558</v>
      </c>
      <c r="AC50" s="23">
        <f ca="1">Performance!D93</f>
        <v>72428.313169853151</v>
      </c>
      <c r="AD50" s="23"/>
      <c r="AE50" s="23">
        <f ca="1">Performance!G93</f>
        <v>3.3637326578441198</v>
      </c>
      <c r="AF50">
        <f t="shared" ca="1" si="13"/>
        <v>6.9064100328730693E-4</v>
      </c>
      <c r="AG50">
        <f ca="1">1/SQRT(AF50)</f>
        <v>38.051678664726197</v>
      </c>
      <c r="AH50">
        <f t="shared" ca="1" si="14"/>
        <v>-3.265634996885295E-2</v>
      </c>
      <c r="AI50" s="23">
        <f t="shared" ca="1" si="20"/>
        <v>-3.2662157080466041E-2</v>
      </c>
      <c r="AJ50">
        <f ca="1">X$7/(X$6^1.5)*SQRT(AB50/(0.5*rho*X$8))</f>
        <v>6.010792439229192</v>
      </c>
      <c r="AK50">
        <f ca="1">AG50*AH50</f>
        <v>-1.2426289353776339</v>
      </c>
      <c r="AL50">
        <f ca="1">(AJ50-AK50)*$I$26</f>
        <v>6.647217475799752</v>
      </c>
      <c r="AM50" s="16">
        <f ca="1">SUM(AO50:BH50)/20</f>
        <v>58496.291822137522</v>
      </c>
      <c r="AN50" s="16">
        <f t="shared" ca="1" si="25"/>
        <v>0.80764398978831209</v>
      </c>
      <c r="AO50">
        <f t="shared" ca="1" si="22"/>
        <v>99993.887120556625</v>
      </c>
      <c r="AP50">
        <f ca="1">MIN($AB50*$AP$17*($AE50+SIN(AP$40/20*2*PI())*$AL50),$X$9*$X$12)*AP109</f>
        <v>138712.79557762531</v>
      </c>
      <c r="AQ50">
        <f t="shared" ca="1" si="17"/>
        <v>170123.9644372242</v>
      </c>
      <c r="AR50">
        <f t="shared" ca="1" si="17"/>
        <v>190442.90929937869</v>
      </c>
      <c r="AS50">
        <f t="shared" ca="1" si="17"/>
        <v>197455.16507872377</v>
      </c>
      <c r="AT50">
        <f t="shared" ca="1" si="17"/>
        <v>190442.90929937869</v>
      </c>
      <c r="AU50">
        <f t="shared" ca="1" si="17"/>
        <v>170123.9644372242</v>
      </c>
      <c r="AV50">
        <f t="shared" ca="1" si="17"/>
        <v>138712.79557762531</v>
      </c>
      <c r="AW50">
        <f t="shared" ca="1" si="17"/>
        <v>99993.887120556639</v>
      </c>
      <c r="AX50">
        <f t="shared" ca="1" si="17"/>
        <v>59083.803663011488</v>
      </c>
      <c r="AY50">
        <f t="shared" ca="1" si="17"/>
        <v>21521.863508157287</v>
      </c>
      <c r="AZ50">
        <f t="shared" ca="1" si="17"/>
        <v>-15801.098104311035</v>
      </c>
      <c r="BA50">
        <f t="shared" ca="1" si="17"/>
        <v>-55414.311811774402</v>
      </c>
      <c r="BB50">
        <f t="shared" ca="1" si="17"/>
        <v>-78996.46296462974</v>
      </c>
      <c r="BC50">
        <f t="shared" ca="1" si="17"/>
        <v>-86864.030086449682</v>
      </c>
      <c r="BD50">
        <f t="shared" ca="1" si="17"/>
        <v>-78996.462964629769</v>
      </c>
      <c r="BE50">
        <f t="shared" ca="1" si="17"/>
        <v>-55414.311811774431</v>
      </c>
      <c r="BF50">
        <f t="shared" ca="1" si="17"/>
        <v>-15801.098104311099</v>
      </c>
      <c r="BG50">
        <f t="shared" ca="1" si="17"/>
        <v>21521.863508157301</v>
      </c>
      <c r="BH50">
        <f t="shared" ca="1" si="17"/>
        <v>59083.803663011437</v>
      </c>
      <c r="BI50">
        <f t="shared" ca="1" si="23"/>
        <v>0</v>
      </c>
      <c r="BJ50">
        <f t="shared" ca="1" si="18"/>
        <v>0</v>
      </c>
      <c r="BK50">
        <f t="shared" ca="1" si="26"/>
        <v>0</v>
      </c>
    </row>
    <row r="51" spans="27:63" x14ac:dyDescent="0.3">
      <c r="AA51" s="89">
        <v>11</v>
      </c>
      <c r="AB51" s="23">
        <f ca="1">Performance!B94</f>
        <v>26053.871650932961</v>
      </c>
      <c r="AC51" s="23">
        <f ca="1">Performance!D94</f>
        <v>94938.605541061261</v>
      </c>
      <c r="AD51" s="23"/>
      <c r="AE51" s="1981">
        <f ca="1">Performance!G94</f>
        <v>3.6439346448404573</v>
      </c>
      <c r="AF51">
        <f t="shared" ca="1" si="13"/>
        <v>5.7402422776519019E-4</v>
      </c>
      <c r="AG51">
        <f t="shared" ca="1" si="19"/>
        <v>41.738312706859283</v>
      </c>
      <c r="AH51">
        <f t="shared" ca="1" si="14"/>
        <v>-3.2290187849030996E-4</v>
      </c>
      <c r="AI51" s="23">
        <f t="shared" ca="1" si="20"/>
        <v>-3.2290188410157114E-4</v>
      </c>
      <c r="AJ51">
        <f t="shared" ca="1" si="15"/>
        <v>6.6118716831521107</v>
      </c>
      <c r="AK51">
        <f t="shared" ca="1" si="24"/>
        <v>-1.3477379578060836E-2</v>
      </c>
      <c r="AL51">
        <f t="shared" ca="1" si="16"/>
        <v>6.0716362387592175</v>
      </c>
      <c r="AM51" s="16">
        <f ca="1">SUM(AO51:BH51)/20</f>
        <v>79131.97346119213</v>
      </c>
      <c r="AN51" s="16">
        <f ca="1">MAX(0,AM51/ABS(BI81))</f>
        <v>0.83350680168740499</v>
      </c>
      <c r="AO51">
        <f t="shared" ca="1" si="22"/>
        <v>123536.1068881777</v>
      </c>
      <c r="AP51">
        <f t="shared" ca="1" si="17"/>
        <v>166351.91688512609</v>
      </c>
      <c r="AQ51">
        <f t="shared" ca="1" si="17"/>
        <v>201032.65984629426</v>
      </c>
      <c r="AR51">
        <f t="shared" ca="1" si="17"/>
        <v>223470.37609451826</v>
      </c>
      <c r="AS51">
        <f t="shared" ca="1" si="17"/>
        <v>231217.10461456748</v>
      </c>
      <c r="AT51">
        <f t="shared" ca="1" si="17"/>
        <v>223470.37609451826</v>
      </c>
      <c r="AU51">
        <f t="shared" ca="1" si="17"/>
        <v>201032.65984629426</v>
      </c>
      <c r="AV51">
        <f t="shared" ca="1" si="17"/>
        <v>166351.91688512609</v>
      </c>
      <c r="AW51">
        <f t="shared" ca="1" si="17"/>
        <v>123536.1068881777</v>
      </c>
      <c r="AX51">
        <f t="shared" ca="1" si="17"/>
        <v>78042.457816616778</v>
      </c>
      <c r="AY51">
        <f t="shared" ca="1" si="17"/>
        <v>35737.088646546785</v>
      </c>
      <c r="AZ51">
        <f t="shared" ca="1" si="17"/>
        <v>1420.3100238372908</v>
      </c>
      <c r="BA51">
        <f t="shared" ca="1" si="17"/>
        <v>-43357.480698064552</v>
      </c>
      <c r="BB51">
        <f t="shared" ca="1" si="17"/>
        <v>-70655.041153866565</v>
      </c>
      <c r="BC51">
        <f t="shared" ca="1" si="17"/>
        <v>-79734.42408909669</v>
      </c>
      <c r="BD51">
        <f t="shared" ca="1" si="17"/>
        <v>-70655.041153866594</v>
      </c>
      <c r="BE51">
        <f t="shared" ca="1" si="17"/>
        <v>-43357.480698064581</v>
      </c>
      <c r="BF51">
        <f t="shared" ca="1" si="17"/>
        <v>1420.3100238372485</v>
      </c>
      <c r="BG51">
        <f t="shared" ca="1" si="17"/>
        <v>35737.088646546799</v>
      </c>
      <c r="BH51">
        <f t="shared" ca="1" si="17"/>
        <v>78042.457816616734</v>
      </c>
      <c r="BI51">
        <f t="shared" ca="1" si="23"/>
        <v>0</v>
      </c>
      <c r="BJ51">
        <f t="shared" ca="1" si="18"/>
        <v>0</v>
      </c>
      <c r="BK51">
        <f t="shared" ca="1" si="26"/>
        <v>0</v>
      </c>
    </row>
    <row r="52" spans="27:63" x14ac:dyDescent="0.3">
      <c r="AA52" s="89">
        <v>12</v>
      </c>
      <c r="AB52" s="23">
        <f ca="1">Performance!B95</f>
        <v>31006.260477143362</v>
      </c>
      <c r="AC52" s="23">
        <f ca="1">Performance!D95</f>
        <v>121840.10463099585</v>
      </c>
      <c r="AD52" s="23"/>
      <c r="AE52" s="23">
        <f ca="1">Performance!G95</f>
        <v>3.9295323833330933</v>
      </c>
      <c r="AF52">
        <f t="shared" ca="1" si="13"/>
        <v>4.8409182033015653E-4</v>
      </c>
      <c r="AG52">
        <f t="shared" ca="1" si="19"/>
        <v>45.450234444604746</v>
      </c>
      <c r="AH52">
        <f t="shared" ca="1" si="14"/>
        <v>2.4499280163638771E-2</v>
      </c>
      <c r="AI52" s="23">
        <f t="shared" ca="1" si="20"/>
        <v>2.4501731630628267E-2</v>
      </c>
      <c r="AJ52">
        <f t="shared" ca="1" si="15"/>
        <v>7.2129509270750303</v>
      </c>
      <c r="AK52">
        <f ca="1">AG52*AH52</f>
        <v>1.1134980271614368</v>
      </c>
      <c r="AL52">
        <f t="shared" ca="1" si="16"/>
        <v>5.5896917902857721</v>
      </c>
      <c r="AM52" s="16">
        <f ca="1">SUM(AO52:BH52)/20</f>
        <v>103556.89484342601</v>
      </c>
      <c r="AN52" s="16">
        <f ca="1">MAX(0,AM52/ABS(BI82))</f>
        <v>0.84994095463934272</v>
      </c>
      <c r="AO52">
        <f ca="1">MIN($AB52*$AP$17*($AE52+SIN(AO$40/20*2*PI())*$AL52),$X$9*$X$12)*AO111</f>
        <v>151071.73378153043</v>
      </c>
      <c r="AP52">
        <f t="shared" ca="1" si="17"/>
        <v>198043.25422712584</v>
      </c>
      <c r="AQ52">
        <f t="shared" ca="1" si="17"/>
        <v>236023.90533761252</v>
      </c>
      <c r="AR52">
        <f t="shared" ca="1" si="17"/>
        <v>260591.72047491086</v>
      </c>
      <c r="AS52">
        <f t="shared" ca="1" si="17"/>
        <v>269075.38626466034</v>
      </c>
      <c r="AT52">
        <f t="shared" ca="1" si="17"/>
        <v>260591.72047491086</v>
      </c>
      <c r="AU52">
        <f t="shared" ca="1" si="17"/>
        <v>236023.90533761252</v>
      </c>
      <c r="AV52">
        <f t="shared" ca="1" si="17"/>
        <v>198043.25422712584</v>
      </c>
      <c r="AW52">
        <f t="shared" ca="1" si="17"/>
        <v>151071.73378153043</v>
      </c>
      <c r="AX52">
        <f t="shared" ca="1" si="17"/>
        <v>100910.02672656423</v>
      </c>
      <c r="AY52">
        <f t="shared" ca="1" si="17"/>
        <v>53772.313207958112</v>
      </c>
      <c r="AZ52">
        <f t="shared" ca="1" si="17"/>
        <v>14847.657835476279</v>
      </c>
      <c r="BA52">
        <f t="shared" ca="1" si="17"/>
        <v>-24763.936791430649</v>
      </c>
      <c r="BB52">
        <f t="shared" ca="1" si="17"/>
        <v>-56170.540232766791</v>
      </c>
      <c r="BC52">
        <f t="shared" ca="1" si="17"/>
        <v>-66589.758530101171</v>
      </c>
      <c r="BD52">
        <f t="shared" ca="1" si="17"/>
        <v>-56170.540232766791</v>
      </c>
      <c r="BE52">
        <f t="shared" ca="1" si="17"/>
        <v>-24763.936791430689</v>
      </c>
      <c r="BF52">
        <f t="shared" ca="1" si="17"/>
        <v>14847.657835476239</v>
      </c>
      <c r="BG52">
        <f t="shared" ca="1" si="17"/>
        <v>53772.313207958134</v>
      </c>
      <c r="BH52">
        <f t="shared" ca="1" si="17"/>
        <v>100910.02672656416</v>
      </c>
      <c r="BI52">
        <f t="shared" ca="1" si="23"/>
        <v>0</v>
      </c>
      <c r="BJ52">
        <f t="shared" ca="1" si="18"/>
        <v>0</v>
      </c>
      <c r="BK52">
        <f t="shared" ca="1" si="26"/>
        <v>0</v>
      </c>
    </row>
    <row r="53" spans="27:63" x14ac:dyDescent="0.3">
      <c r="AA53" s="89">
        <v>13</v>
      </c>
      <c r="AB53" s="23">
        <f ca="1">Performance!B96</f>
        <v>34020.000000000007</v>
      </c>
      <c r="AC53" s="24">
        <f ca="1">Performance!D96</f>
        <v>152855.83812602062</v>
      </c>
      <c r="AD53" s="23"/>
      <c r="AE53" s="23">
        <f ca="1">Performance!G96</f>
        <v>4.4931169349212405</v>
      </c>
      <c r="AF53">
        <f t="shared" ca="1" si="13"/>
        <v>4.4186193158882414E-4</v>
      </c>
      <c r="AG53">
        <f t="shared" ca="1" si="19"/>
        <v>47.572580166099975</v>
      </c>
      <c r="AH53">
        <f t="shared" ca="1" si="14"/>
        <v>3.6121613408749927E-2</v>
      </c>
      <c r="AI53" s="23">
        <f ca="1">ASIN(AH53)</f>
        <v>3.6129473096421914E-2</v>
      </c>
      <c r="AJ53">
        <f t="shared" ca="1" si="15"/>
        <v>7.5553647670139519</v>
      </c>
      <c r="AK53">
        <f ca="1">AG53*AH53</f>
        <v>1.7183983496166277</v>
      </c>
      <c r="AL53">
        <f t="shared" ca="1" si="16"/>
        <v>5.3491425868641072</v>
      </c>
      <c r="AM53" s="16">
        <f ca="1">SUM(AO53:BH53)/20</f>
        <v>133367.86776624215</v>
      </c>
      <c r="AN53" s="16">
        <f t="shared" ca="1" si="25"/>
        <v>0.87250751689502504</v>
      </c>
      <c r="AO53">
        <f ca="1">MIN($AB53*$AP$17*($AE53+SIN(AO$40/20*2*PI())*$AL53),$X$9*$X$12)*AO112</f>
        <v>181783.8001600602</v>
      </c>
      <c r="AP53">
        <f ca="1">MIN($AB53*$AP$17*($AE53+SIN(AP$40/20*2*PI())*$AL53),$X$9*$X$12)*AP112</f>
        <v>231462.84179540744</v>
      </c>
      <c r="AQ53">
        <f t="shared" ca="1" si="17"/>
        <v>271478.84194236132</v>
      </c>
      <c r="AR53">
        <f t="shared" ca="1" si="17"/>
        <v>297313.07789523824</v>
      </c>
      <c r="AS53">
        <f t="shared" ca="1" si="17"/>
        <v>306227.10877496458</v>
      </c>
      <c r="AT53">
        <f ca="1">MIN($AB53*$AP$17*($AE53+SIN(AT$40/20*2*PI())*$AL53),$X$9*$X$12)*AT112</f>
        <v>297313.07789523824</v>
      </c>
      <c r="AU53">
        <f t="shared" ca="1" si="17"/>
        <v>271478.84194236132</v>
      </c>
      <c r="AV53">
        <f t="shared" ca="1" si="17"/>
        <v>231462.84179540744</v>
      </c>
      <c r="AW53">
        <f t="shared" ca="1" si="17"/>
        <v>181783.80016006026</v>
      </c>
      <c r="AX53">
        <f t="shared" ca="1" si="17"/>
        <v>128370.72159434146</v>
      </c>
      <c r="AY53">
        <f t="shared" ca="1" si="17"/>
        <v>77632.690872279825</v>
      </c>
      <c r="AZ53">
        <f t="shared" ca="1" si="17"/>
        <v>35076.589518092507</v>
      </c>
      <c r="BA53">
        <f t="shared" ca="1" si="17"/>
        <v>4104.1759681899684</v>
      </c>
      <c r="BB53">
        <f t="shared" ca="1" si="17"/>
        <v>-27242.346401253442</v>
      </c>
      <c r="BC53">
        <f t="shared" ca="1" si="17"/>
        <v>-38830.540139557896</v>
      </c>
      <c r="BD53">
        <f t="shared" ca="1" si="17"/>
        <v>-27242.346401253442</v>
      </c>
      <c r="BE53">
        <f t="shared" ca="1" si="17"/>
        <v>4104.1759681899248</v>
      </c>
      <c r="BF53">
        <f t="shared" ca="1" si="17"/>
        <v>35076.589518092456</v>
      </c>
      <c r="BG53">
        <f t="shared" ca="1" si="17"/>
        <v>77632.69087227984</v>
      </c>
      <c r="BH53">
        <f t="shared" ca="1" si="17"/>
        <v>128370.72159434142</v>
      </c>
      <c r="BI53">
        <f t="shared" ca="1" si="23"/>
        <v>0</v>
      </c>
      <c r="BJ53">
        <f t="shared" ca="1" si="18"/>
        <v>0</v>
      </c>
      <c r="BK53">
        <f t="shared" ca="1" si="26"/>
        <v>12.608542589960958</v>
      </c>
    </row>
    <row r="54" spans="27:63" x14ac:dyDescent="0.3">
      <c r="AA54" s="89">
        <v>14</v>
      </c>
      <c r="AB54" s="23">
        <f ca="1">Performance!B97</f>
        <v>34020.000000000007</v>
      </c>
      <c r="AC54" s="23">
        <f ca="1">Performance!D97</f>
        <v>184398.63285838271</v>
      </c>
      <c r="AD54" s="23"/>
      <c r="AE54" s="23">
        <f ca="1">Performance!G97</f>
        <v>5.4203007894880271</v>
      </c>
      <c r="AF54">
        <f t="shared" ca="1" si="13"/>
        <v>4.4186193158882414E-4</v>
      </c>
      <c r="AG54">
        <f t="shared" ca="1" si="19"/>
        <v>47.572580166099975</v>
      </c>
      <c r="AH54">
        <f t="shared" ca="1" si="14"/>
        <v>3.6121613408749927E-2</v>
      </c>
      <c r="AI54" s="23">
        <f t="shared" ca="1" si="20"/>
        <v>3.6129473096421914E-2</v>
      </c>
      <c r="AJ54">
        <f ca="1">X$7/(X$6^1.5)*SQRT(AB54/(0.5*rho*X$8))</f>
        <v>7.5553647670139519</v>
      </c>
      <c r="AK54">
        <f t="shared" ca="1" si="24"/>
        <v>1.7183983496166277</v>
      </c>
      <c r="AL54">
        <f t="shared" ca="1" si="16"/>
        <v>5.3491425868641072</v>
      </c>
      <c r="AM54" s="16">
        <f t="shared" ca="1" si="21"/>
        <v>163836.53877131984</v>
      </c>
      <c r="AN54" s="16">
        <f t="shared" ca="1" si="25"/>
        <v>0.88849107084836998</v>
      </c>
      <c r="AO54">
        <f t="shared" ca="1" si="22"/>
        <v>212549.8763120053</v>
      </c>
      <c r="AP54">
        <f t="shared" ca="1" si="17"/>
        <v>262786.28456641186</v>
      </c>
      <c r="AQ54">
        <f t="shared" ca="1" si="17"/>
        <v>303012.15526166296</v>
      </c>
      <c r="AR54">
        <f t="shared" ca="1" si="17"/>
        <v>328888.60103051196</v>
      </c>
      <c r="AS54">
        <f ca="1">MIN($AB54*$AP$17*($AE54+SIN(AS$40/20*2*PI())*$AL54),$X$9*$X$12)*AS113</f>
        <v>337802.26241690648</v>
      </c>
      <c r="AT54">
        <f t="shared" ca="1" si="17"/>
        <v>328888.60103051196</v>
      </c>
      <c r="AU54">
        <f t="shared" ca="1" si="17"/>
        <v>303012.15526166296</v>
      </c>
      <c r="AV54">
        <f t="shared" ca="1" si="17"/>
        <v>262786.28456641186</v>
      </c>
      <c r="AW54">
        <f t="shared" ca="1" si="17"/>
        <v>212549.87631200533</v>
      </c>
      <c r="AX54">
        <f t="shared" ca="1" si="17"/>
        <v>158066.72379845451</v>
      </c>
      <c r="AY54">
        <f t="shared" ca="1" si="17"/>
        <v>105700.91986057564</v>
      </c>
      <c r="AZ54">
        <f t="shared" ca="1" si="17"/>
        <v>61127.376248242734</v>
      </c>
      <c r="BA54">
        <f t="shared" ca="1" si="17"/>
        <v>28140.339407841009</v>
      </c>
      <c r="BB54">
        <f t="shared" ca="1" si="17"/>
        <v>8313.7082129780301</v>
      </c>
      <c r="BC54">
        <f t="shared" ca="1" si="17"/>
        <v>1756.5436121218315</v>
      </c>
      <c r="BD54">
        <f t="shared" ca="1" si="17"/>
        <v>8313.7082129780301</v>
      </c>
      <c r="BE54">
        <f t="shared" ca="1" si="17"/>
        <v>28140.339407840962</v>
      </c>
      <c r="BF54">
        <f t="shared" ca="1" si="17"/>
        <v>61127.376248242683</v>
      </c>
      <c r="BG54">
        <f t="shared" ca="1" si="17"/>
        <v>105700.91986057564</v>
      </c>
      <c r="BH54">
        <f t="shared" ca="1" si="17"/>
        <v>158066.72379845445</v>
      </c>
      <c r="BI54">
        <f t="shared" ca="1" si="23"/>
        <v>14.043278389323669</v>
      </c>
      <c r="BJ54">
        <f t="shared" ca="1" si="18"/>
        <v>0</v>
      </c>
      <c r="BK54">
        <f t="shared" ca="1" si="26"/>
        <v>0</v>
      </c>
    </row>
    <row r="55" spans="27:63" x14ac:dyDescent="0.3">
      <c r="AA55" s="89">
        <v>15</v>
      </c>
      <c r="AB55" s="23">
        <f ca="1">Performance!B98</f>
        <v>34020.000000000007</v>
      </c>
      <c r="AC55" s="23">
        <f ca="1">Performance!D98</f>
        <v>215941.4275907448</v>
      </c>
      <c r="AD55" s="23"/>
      <c r="AE55" s="23">
        <f ca="1">Performance!G98</f>
        <v>6.3474846440548136</v>
      </c>
      <c r="AF55">
        <f t="shared" ca="1" si="13"/>
        <v>4.4186193158882414E-4</v>
      </c>
      <c r="AG55">
        <f t="shared" ca="1" si="19"/>
        <v>47.572580166099975</v>
      </c>
      <c r="AH55">
        <f t="shared" ca="1" si="14"/>
        <v>3.6121613408749927E-2</v>
      </c>
      <c r="AI55" s="23">
        <f t="shared" ca="1" si="20"/>
        <v>3.6129473096421914E-2</v>
      </c>
      <c r="AJ55">
        <f t="shared" ca="1" si="15"/>
        <v>7.5553647670139519</v>
      </c>
      <c r="AK55">
        <f t="shared" ca="1" si="24"/>
        <v>1.7183983496166277</v>
      </c>
      <c r="AL55">
        <f t="shared" ca="1" si="16"/>
        <v>5.3491425868641072</v>
      </c>
      <c r="AM55" s="16">
        <f ca="1">SUM(AO55:BH55)/20</f>
        <v>190498.7864458893</v>
      </c>
      <c r="AN55" s="16">
        <f t="shared" ca="1" si="25"/>
        <v>0.89270835336941479</v>
      </c>
      <c r="AO55">
        <f ca="1">MIN($AB55*$AP$17*($AE55+SIN(AO$40/20*2*PI())*$AL55),$X$9*$X$12)*AO114</f>
        <v>243703.78385229412</v>
      </c>
      <c r="AP55">
        <f t="shared" ca="1" si="17"/>
        <v>294289.80513682764</v>
      </c>
      <c r="AQ55">
        <f t="shared" ca="1" si="17"/>
        <v>334588.27745762072</v>
      </c>
      <c r="AR55">
        <f t="shared" ca="1" si="17"/>
        <v>347448.56342153822</v>
      </c>
      <c r="AS55">
        <f t="shared" ca="1" si="17"/>
        <v>348049.28732061258</v>
      </c>
      <c r="AT55">
        <f t="shared" ref="AP55:BH65" ca="1" si="27">MIN($AB55*$AP$17*($AE55+SIN(AT$40/20*2*PI())*$AL55),$X$9*$X$12)*AT114</f>
        <v>347448.56342153822</v>
      </c>
      <c r="AU55">
        <f t="shared" ca="1" si="27"/>
        <v>334588.27745762072</v>
      </c>
      <c r="AV55">
        <f t="shared" ca="1" si="27"/>
        <v>294289.80513682764</v>
      </c>
      <c r="AW55">
        <f t="shared" ca="1" si="27"/>
        <v>243703.78385229412</v>
      </c>
      <c r="AX55">
        <f t="shared" ca="1" si="27"/>
        <v>188426.18294447652</v>
      </c>
      <c r="AY55">
        <f t="shared" ca="1" si="27"/>
        <v>134755.89299788137</v>
      </c>
      <c r="AZ55">
        <f t="shared" ca="1" si="27"/>
        <v>88497.440545252131</v>
      </c>
      <c r="BA55">
        <f t="shared" ca="1" si="27"/>
        <v>53787.28568786836</v>
      </c>
      <c r="BB55">
        <f t="shared" ca="1" si="27"/>
        <v>32658.403942398658</v>
      </c>
      <c r="BC55">
        <f t="shared" ca="1" si="27"/>
        <v>25615.169624857648</v>
      </c>
      <c r="BD55">
        <f t="shared" ca="1" si="27"/>
        <v>32658.403942398658</v>
      </c>
      <c r="BE55">
        <f t="shared" ca="1" si="27"/>
        <v>53787.285687868309</v>
      </c>
      <c r="BF55">
        <f t="shared" ca="1" si="27"/>
        <v>88497.440545252073</v>
      </c>
      <c r="BG55">
        <f t="shared" ca="1" si="27"/>
        <v>134755.8929978814</v>
      </c>
      <c r="BH55">
        <f t="shared" ca="1" si="27"/>
        <v>188426.18294447646</v>
      </c>
      <c r="BI55">
        <f t="shared" ca="1" si="23"/>
        <v>0</v>
      </c>
      <c r="BJ55">
        <f t="shared" ca="1" si="18"/>
        <v>0</v>
      </c>
      <c r="BK55">
        <f t="shared" ca="1" si="26"/>
        <v>0</v>
      </c>
    </row>
    <row r="56" spans="27:63" x14ac:dyDescent="0.3">
      <c r="AA56" s="89">
        <v>16</v>
      </c>
      <c r="AB56" s="23">
        <f ca="1">Performance!B99</f>
        <v>34020.000000000007</v>
      </c>
      <c r="AC56" s="23">
        <f ca="1">Performance!D99</f>
        <v>247484.22232310695</v>
      </c>
      <c r="AD56" s="23"/>
      <c r="AE56" s="1981">
        <f ca="1">Performance!G99</f>
        <v>6.9803235322690123</v>
      </c>
      <c r="AF56">
        <f t="shared" ca="1" si="13"/>
        <v>4.4186193158882414E-4</v>
      </c>
      <c r="AG56">
        <f t="shared" ca="1" si="19"/>
        <v>47.572580166099975</v>
      </c>
      <c r="AH56">
        <f t="shared" ca="1" si="14"/>
        <v>3.6121613408749927E-2</v>
      </c>
      <c r="AI56" s="23">
        <f t="shared" ca="1" si="20"/>
        <v>3.6129473096421914E-2</v>
      </c>
      <c r="AJ56">
        <f t="shared" ca="1" si="15"/>
        <v>7.5553647670139519</v>
      </c>
      <c r="AK56">
        <f t="shared" ca="1" si="24"/>
        <v>1.7183983496166277</v>
      </c>
      <c r="AL56">
        <f t="shared" ca="1" si="16"/>
        <v>5.3491425868641072</v>
      </c>
      <c r="AM56" s="16">
        <f ca="1">SUM(AO56:BH56)/20</f>
        <v>206766.37826513639</v>
      </c>
      <c r="AN56" s="16">
        <f ca="1">MAX(0,AM56/ABS(BI86))</f>
        <v>0.89616085012634783</v>
      </c>
      <c r="AO56">
        <f ca="1">MIN($AB56*$AP$17*($AE56+SIN(AO$40/20*2*PI())*$AL56),$X$9*$X$12)*AO115</f>
        <v>265120.94737304962</v>
      </c>
      <c r="AP56">
        <f t="shared" ca="1" si="27"/>
        <v>315838.68393648596</v>
      </c>
      <c r="AQ56">
        <f t="shared" ca="1" si="27"/>
        <v>347144.03058559471</v>
      </c>
      <c r="AR56">
        <f t="shared" ca="1" si="27"/>
        <v>348839.31397401437</v>
      </c>
      <c r="AS56">
        <f t="shared" ca="1" si="27"/>
        <v>349354.8768111752</v>
      </c>
      <c r="AT56">
        <f t="shared" ca="1" si="27"/>
        <v>348839.31397401437</v>
      </c>
      <c r="AU56">
        <f t="shared" ca="1" si="27"/>
        <v>347144.03058559471</v>
      </c>
      <c r="AV56">
        <f t="shared" ca="1" si="27"/>
        <v>315838.68393648596</v>
      </c>
      <c r="AW56">
        <f t="shared" ca="1" si="27"/>
        <v>265120.94737304962</v>
      </c>
      <c r="AX56">
        <f t="shared" ca="1" si="27"/>
        <v>209445.64219956845</v>
      </c>
      <c r="AY56">
        <f t="shared" ca="1" si="27"/>
        <v>155056.89483302031</v>
      </c>
      <c r="AZ56">
        <f t="shared" ca="1" si="27"/>
        <v>107826.98444155979</v>
      </c>
      <c r="BA56">
        <f t="shared" ca="1" si="27"/>
        <v>72098.289826719978</v>
      </c>
      <c r="BB56">
        <f t="shared" ca="1" si="27"/>
        <v>50189.122156400685</v>
      </c>
      <c r="BC56">
        <f t="shared" ca="1" si="27"/>
        <v>42852.86983872456</v>
      </c>
      <c r="BD56">
        <f t="shared" ca="1" si="27"/>
        <v>50189.122156400685</v>
      </c>
      <c r="BE56">
        <f t="shared" ca="1" si="27"/>
        <v>72098.28982671992</v>
      </c>
      <c r="BF56">
        <f t="shared" ca="1" si="27"/>
        <v>107826.98444155973</v>
      </c>
      <c r="BG56">
        <f t="shared" ca="1" si="27"/>
        <v>155056.89483302034</v>
      </c>
      <c r="BH56">
        <f t="shared" ca="1" si="27"/>
        <v>209445.64219956836</v>
      </c>
      <c r="BI56">
        <f t="shared" ca="1" si="23"/>
        <v>0</v>
      </c>
      <c r="BJ56">
        <f t="shared" ca="1" si="18"/>
        <v>0</v>
      </c>
      <c r="BK56">
        <f t="shared" ca="1" si="26"/>
        <v>0</v>
      </c>
    </row>
    <row r="57" spans="27:63" x14ac:dyDescent="0.3">
      <c r="AA57" s="89">
        <v>17</v>
      </c>
      <c r="AB57" s="23">
        <f ca="1">Performance!B100</f>
        <v>34020.000000000007</v>
      </c>
      <c r="AC57" s="23">
        <f ca="1">Performance!D100</f>
        <v>279027.01705546904</v>
      </c>
      <c r="AD57" s="23"/>
      <c r="AE57" s="23">
        <f ca="1">Performance!G100</f>
        <v>6.9803235322690123</v>
      </c>
      <c r="AF57">
        <f t="shared" ca="1" si="13"/>
        <v>4.4186193158882414E-4</v>
      </c>
      <c r="AG57">
        <f t="shared" ca="1" si="19"/>
        <v>47.572580166099975</v>
      </c>
      <c r="AH57">
        <f t="shared" ca="1" si="14"/>
        <v>3.6121613408749927E-2</v>
      </c>
      <c r="AI57" s="23">
        <f t="shared" ca="1" si="20"/>
        <v>3.6129473096421914E-2</v>
      </c>
      <c r="AJ57">
        <f t="shared" ca="1" si="15"/>
        <v>7.5553647670139519</v>
      </c>
      <c r="AK57">
        <f t="shared" ca="1" si="24"/>
        <v>1.7183983496166277</v>
      </c>
      <c r="AL57">
        <f t="shared" ca="1" si="16"/>
        <v>5.3491425868641072</v>
      </c>
      <c r="AM57" s="16">
        <f t="shared" ca="1" si="21"/>
        <v>206766.37826513639</v>
      </c>
      <c r="AN57" s="16">
        <f t="shared" ca="1" si="25"/>
        <v>0.89616085012634783</v>
      </c>
      <c r="AO57">
        <f t="shared" ca="1" si="22"/>
        <v>265120.94737304962</v>
      </c>
      <c r="AP57">
        <f t="shared" ca="1" si="27"/>
        <v>315838.68393648596</v>
      </c>
      <c r="AQ57">
        <f t="shared" ca="1" si="27"/>
        <v>347144.03058559471</v>
      </c>
      <c r="AR57">
        <f t="shared" ca="1" si="27"/>
        <v>348839.31397401437</v>
      </c>
      <c r="AS57">
        <f t="shared" ca="1" si="27"/>
        <v>349354.8768111752</v>
      </c>
      <c r="AT57">
        <f t="shared" ca="1" si="27"/>
        <v>348839.31397401437</v>
      </c>
      <c r="AU57">
        <f t="shared" ca="1" si="27"/>
        <v>347144.03058559471</v>
      </c>
      <c r="AV57">
        <f t="shared" ca="1" si="27"/>
        <v>315838.68393648596</v>
      </c>
      <c r="AW57">
        <f t="shared" ca="1" si="27"/>
        <v>265120.94737304962</v>
      </c>
      <c r="AX57">
        <f t="shared" ca="1" si="27"/>
        <v>209445.64219956845</v>
      </c>
      <c r="AY57">
        <f t="shared" ca="1" si="27"/>
        <v>155056.89483302031</v>
      </c>
      <c r="AZ57">
        <f t="shared" ca="1" si="27"/>
        <v>107826.98444155979</v>
      </c>
      <c r="BA57">
        <f t="shared" ca="1" si="27"/>
        <v>72098.289826719978</v>
      </c>
      <c r="BB57">
        <f t="shared" ca="1" si="27"/>
        <v>50189.122156400685</v>
      </c>
      <c r="BC57">
        <f t="shared" ca="1" si="27"/>
        <v>42852.86983872456</v>
      </c>
      <c r="BD57">
        <f t="shared" ca="1" si="27"/>
        <v>50189.122156400685</v>
      </c>
      <c r="BE57">
        <f t="shared" ca="1" si="27"/>
        <v>72098.28982671992</v>
      </c>
      <c r="BF57">
        <f t="shared" ca="1" si="27"/>
        <v>107826.98444155973</v>
      </c>
      <c r="BG57">
        <f t="shared" ca="1" si="27"/>
        <v>155056.89483302034</v>
      </c>
      <c r="BH57">
        <f t="shared" ca="1" si="27"/>
        <v>209445.64219956836</v>
      </c>
      <c r="BI57">
        <f t="shared" ca="1" si="23"/>
        <v>0</v>
      </c>
      <c r="BJ57">
        <f t="shared" ca="1" si="18"/>
        <v>0</v>
      </c>
      <c r="BK57">
        <f t="shared" ca="1" si="26"/>
        <v>0</v>
      </c>
    </row>
    <row r="58" spans="27:63" x14ac:dyDescent="0.3">
      <c r="AA58" s="89">
        <v>18</v>
      </c>
      <c r="AB58" s="23">
        <f ca="1">Performance!B101</f>
        <v>34020.000000000007</v>
      </c>
      <c r="AC58" s="23">
        <f ca="1">Performance!D101</f>
        <v>310569.81178783119</v>
      </c>
      <c r="AD58" s="23"/>
      <c r="AE58" s="23">
        <f ca="1">Performance!G101</f>
        <v>6.9803235322690123</v>
      </c>
      <c r="AF58">
        <f t="shared" ca="1" si="13"/>
        <v>4.4186193158882414E-4</v>
      </c>
      <c r="AG58">
        <f t="shared" ca="1" si="19"/>
        <v>47.572580166099975</v>
      </c>
      <c r="AH58">
        <f t="shared" ca="1" si="14"/>
        <v>3.6121613408749927E-2</v>
      </c>
      <c r="AI58" s="23">
        <f t="shared" ca="1" si="20"/>
        <v>3.6129473096421914E-2</v>
      </c>
      <c r="AJ58">
        <f t="shared" ca="1" si="15"/>
        <v>7.5553647670139519</v>
      </c>
      <c r="AK58">
        <f t="shared" ca="1" si="24"/>
        <v>1.7183983496166277</v>
      </c>
      <c r="AL58">
        <f t="shared" ca="1" si="16"/>
        <v>5.3491425868641072</v>
      </c>
      <c r="AM58" s="16">
        <f ca="1">SUM(AO58:BH58)/20</f>
        <v>206766.37826513639</v>
      </c>
      <c r="AN58" s="16">
        <f t="shared" ca="1" si="25"/>
        <v>0.89616085012634783</v>
      </c>
      <c r="AO58">
        <f t="shared" ca="1" si="22"/>
        <v>265120.94737304962</v>
      </c>
      <c r="AP58">
        <f t="shared" ca="1" si="27"/>
        <v>315838.68393648596</v>
      </c>
      <c r="AQ58">
        <f t="shared" ca="1" si="27"/>
        <v>347144.03058559471</v>
      </c>
      <c r="AR58">
        <f t="shared" ca="1" si="27"/>
        <v>348839.31397401437</v>
      </c>
      <c r="AS58">
        <f t="shared" ca="1" si="27"/>
        <v>349354.8768111752</v>
      </c>
      <c r="AT58">
        <f t="shared" ca="1" si="27"/>
        <v>348839.31397401437</v>
      </c>
      <c r="AU58">
        <f t="shared" ca="1" si="27"/>
        <v>347144.03058559471</v>
      </c>
      <c r="AV58">
        <f t="shared" ca="1" si="27"/>
        <v>315838.68393648596</v>
      </c>
      <c r="AW58">
        <f t="shared" ca="1" si="27"/>
        <v>265120.94737304962</v>
      </c>
      <c r="AX58">
        <f t="shared" ca="1" si="27"/>
        <v>209445.64219956845</v>
      </c>
      <c r="AY58">
        <f t="shared" ca="1" si="27"/>
        <v>155056.89483302031</v>
      </c>
      <c r="AZ58">
        <f t="shared" ca="1" si="27"/>
        <v>107826.98444155979</v>
      </c>
      <c r="BA58">
        <f t="shared" ca="1" si="27"/>
        <v>72098.289826719978</v>
      </c>
      <c r="BB58">
        <f t="shared" ca="1" si="27"/>
        <v>50189.122156400685</v>
      </c>
      <c r="BC58">
        <f t="shared" ca="1" si="27"/>
        <v>42852.86983872456</v>
      </c>
      <c r="BD58">
        <f t="shared" ca="1" si="27"/>
        <v>50189.122156400685</v>
      </c>
      <c r="BE58">
        <f t="shared" ca="1" si="27"/>
        <v>72098.28982671992</v>
      </c>
      <c r="BF58">
        <f t="shared" ca="1" si="27"/>
        <v>107826.98444155973</v>
      </c>
      <c r="BG58">
        <f t="shared" ca="1" si="27"/>
        <v>155056.89483302034</v>
      </c>
      <c r="BH58">
        <f t="shared" ca="1" si="27"/>
        <v>209445.64219956836</v>
      </c>
      <c r="BI58">
        <f t="shared" ca="1" si="23"/>
        <v>0</v>
      </c>
      <c r="BJ58">
        <f t="shared" ca="1" si="18"/>
        <v>0</v>
      </c>
      <c r="BK58">
        <f t="shared" ca="1" si="26"/>
        <v>0</v>
      </c>
    </row>
    <row r="59" spans="27:63" x14ac:dyDescent="0.3">
      <c r="AA59" s="89">
        <v>19</v>
      </c>
      <c r="AB59" s="23">
        <f ca="1">Performance!B102</f>
        <v>34020.000000000007</v>
      </c>
      <c r="AC59" s="23">
        <f ca="1">Performance!D102</f>
        <v>342112.60652019322</v>
      </c>
      <c r="AD59" s="23"/>
      <c r="AE59" s="23">
        <f ca="1">Performance!G102</f>
        <v>6.9803235322690123</v>
      </c>
      <c r="AF59">
        <f t="shared" ca="1" si="13"/>
        <v>4.4186193158882414E-4</v>
      </c>
      <c r="AG59">
        <f t="shared" ca="1" si="19"/>
        <v>47.572580166099975</v>
      </c>
      <c r="AH59">
        <f t="shared" ca="1" si="14"/>
        <v>3.6121613408749927E-2</v>
      </c>
      <c r="AI59" s="23">
        <f t="shared" ca="1" si="20"/>
        <v>3.6129473096421914E-2</v>
      </c>
      <c r="AJ59">
        <f t="shared" ca="1" si="15"/>
        <v>7.5553647670139519</v>
      </c>
      <c r="AK59">
        <f t="shared" ca="1" si="24"/>
        <v>1.7183983496166277</v>
      </c>
      <c r="AL59">
        <f t="shared" ca="1" si="16"/>
        <v>5.3491425868641072</v>
      </c>
      <c r="AM59" s="16">
        <f t="shared" ca="1" si="21"/>
        <v>206766.37826513639</v>
      </c>
      <c r="AN59" s="16">
        <f t="shared" ca="1" si="25"/>
        <v>0.89616085012634783</v>
      </c>
      <c r="AO59">
        <f t="shared" ca="1" si="22"/>
        <v>265120.94737304962</v>
      </c>
      <c r="AP59">
        <f t="shared" ca="1" si="27"/>
        <v>315838.68393648596</v>
      </c>
      <c r="AQ59">
        <f t="shared" ca="1" si="27"/>
        <v>347144.03058559471</v>
      </c>
      <c r="AR59">
        <f t="shared" ca="1" si="27"/>
        <v>348839.31397401437</v>
      </c>
      <c r="AS59">
        <f t="shared" ca="1" si="27"/>
        <v>349354.8768111752</v>
      </c>
      <c r="AT59">
        <f t="shared" ca="1" si="27"/>
        <v>348839.31397401437</v>
      </c>
      <c r="AU59">
        <f t="shared" ca="1" si="27"/>
        <v>347144.03058559471</v>
      </c>
      <c r="AV59">
        <f t="shared" ca="1" si="27"/>
        <v>315838.68393648596</v>
      </c>
      <c r="AW59">
        <f t="shared" ca="1" si="27"/>
        <v>265120.94737304962</v>
      </c>
      <c r="AX59">
        <f t="shared" ca="1" si="27"/>
        <v>209445.64219956845</v>
      </c>
      <c r="AY59">
        <f t="shared" ca="1" si="27"/>
        <v>155056.89483302031</v>
      </c>
      <c r="AZ59">
        <f t="shared" ca="1" si="27"/>
        <v>107826.98444155979</v>
      </c>
      <c r="BA59">
        <f t="shared" ca="1" si="27"/>
        <v>72098.289826719978</v>
      </c>
      <c r="BB59">
        <f t="shared" ca="1" si="27"/>
        <v>50189.122156400685</v>
      </c>
      <c r="BC59">
        <f t="shared" ca="1" si="27"/>
        <v>42852.86983872456</v>
      </c>
      <c r="BD59">
        <f t="shared" ca="1" si="27"/>
        <v>50189.122156400685</v>
      </c>
      <c r="BE59">
        <f t="shared" ca="1" si="27"/>
        <v>72098.28982671992</v>
      </c>
      <c r="BF59">
        <f t="shared" ca="1" si="27"/>
        <v>107826.98444155973</v>
      </c>
      <c r="BG59">
        <f t="shared" ca="1" si="27"/>
        <v>155056.89483302034</v>
      </c>
      <c r="BH59">
        <f t="shared" ca="1" si="27"/>
        <v>209445.64219956836</v>
      </c>
      <c r="BI59">
        <f t="shared" ca="1" si="23"/>
        <v>0</v>
      </c>
      <c r="BJ59">
        <f t="shared" ca="1" si="18"/>
        <v>0</v>
      </c>
      <c r="BK59">
        <f t="shared" ca="1" si="26"/>
        <v>0</v>
      </c>
    </row>
    <row r="60" spans="27:63" x14ac:dyDescent="0.3">
      <c r="AA60" s="89">
        <v>20</v>
      </c>
      <c r="AB60" s="23">
        <f ca="1">Performance!B103</f>
        <v>34020.000000000007</v>
      </c>
      <c r="AC60" s="23">
        <f ca="1">Performance!D103</f>
        <v>373655.40125255537</v>
      </c>
      <c r="AD60" s="23"/>
      <c r="AE60" s="23">
        <f ca="1">Performance!G103</f>
        <v>6.9803235322690123</v>
      </c>
      <c r="AF60">
        <f t="shared" ca="1" si="13"/>
        <v>4.4186193158882414E-4</v>
      </c>
      <c r="AG60">
        <f t="shared" ca="1" si="19"/>
        <v>47.572580166099975</v>
      </c>
      <c r="AH60">
        <f t="shared" ca="1" si="14"/>
        <v>3.6121613408749927E-2</v>
      </c>
      <c r="AI60" s="23">
        <f t="shared" ca="1" si="20"/>
        <v>3.6129473096421914E-2</v>
      </c>
      <c r="AJ60">
        <f t="shared" ca="1" si="15"/>
        <v>7.5553647670139519</v>
      </c>
      <c r="AK60">
        <f t="shared" ca="1" si="24"/>
        <v>1.7183983496166277</v>
      </c>
      <c r="AL60">
        <f t="shared" ca="1" si="16"/>
        <v>5.3491425868641072</v>
      </c>
      <c r="AM60" s="16">
        <f t="shared" ca="1" si="21"/>
        <v>206766.37826513639</v>
      </c>
      <c r="AN60" s="16">
        <f t="shared" ca="1" si="25"/>
        <v>0.89616085012634783</v>
      </c>
      <c r="AO60">
        <f t="shared" ca="1" si="22"/>
        <v>265120.94737304962</v>
      </c>
      <c r="AP60">
        <f t="shared" ca="1" si="27"/>
        <v>315838.68393648596</v>
      </c>
      <c r="AQ60">
        <f t="shared" ca="1" si="27"/>
        <v>347144.03058559471</v>
      </c>
      <c r="AR60">
        <f t="shared" ca="1" si="27"/>
        <v>348839.31397401437</v>
      </c>
      <c r="AS60">
        <f t="shared" ca="1" si="27"/>
        <v>349354.8768111752</v>
      </c>
      <c r="AT60">
        <f t="shared" ca="1" si="27"/>
        <v>348839.31397401437</v>
      </c>
      <c r="AU60">
        <f t="shared" ca="1" si="27"/>
        <v>347144.03058559471</v>
      </c>
      <c r="AV60">
        <f t="shared" ca="1" si="27"/>
        <v>315838.68393648596</v>
      </c>
      <c r="AW60">
        <f t="shared" ca="1" si="27"/>
        <v>265120.94737304962</v>
      </c>
      <c r="AX60">
        <f t="shared" ca="1" si="27"/>
        <v>209445.64219956845</v>
      </c>
      <c r="AY60">
        <f t="shared" ca="1" si="27"/>
        <v>155056.89483302031</v>
      </c>
      <c r="AZ60">
        <f t="shared" ca="1" si="27"/>
        <v>107826.98444155979</v>
      </c>
      <c r="BA60">
        <f t="shared" ca="1" si="27"/>
        <v>72098.289826719978</v>
      </c>
      <c r="BB60">
        <f t="shared" ca="1" si="27"/>
        <v>50189.122156400685</v>
      </c>
      <c r="BC60">
        <f t="shared" ca="1" si="27"/>
        <v>42852.86983872456</v>
      </c>
      <c r="BD60">
        <f t="shared" ca="1" si="27"/>
        <v>50189.122156400685</v>
      </c>
      <c r="BE60">
        <f t="shared" ca="1" si="27"/>
        <v>72098.28982671992</v>
      </c>
      <c r="BF60">
        <f t="shared" ca="1" si="27"/>
        <v>107826.98444155973</v>
      </c>
      <c r="BG60">
        <f t="shared" ca="1" si="27"/>
        <v>155056.89483302034</v>
      </c>
      <c r="BH60">
        <f t="shared" ca="1" si="27"/>
        <v>209445.64219956836</v>
      </c>
      <c r="BI60">
        <f t="shared" ca="1" si="23"/>
        <v>0</v>
      </c>
      <c r="BJ60">
        <f t="shared" ca="1" si="18"/>
        <v>0</v>
      </c>
      <c r="BK60">
        <f t="shared" ca="1" si="26"/>
        <v>0</v>
      </c>
    </row>
    <row r="61" spans="27:63" x14ac:dyDescent="0.3">
      <c r="AA61" s="89">
        <v>21</v>
      </c>
      <c r="AB61" s="23">
        <f ca="1">Performance!B104</f>
        <v>34020.000000000007</v>
      </c>
      <c r="AC61" s="23">
        <f ca="1">Performance!D104</f>
        <v>405198.19598491752</v>
      </c>
      <c r="AD61" s="23"/>
      <c r="AE61" s="23">
        <f ca="1">Performance!G104</f>
        <v>6.9803235322690123</v>
      </c>
      <c r="AF61">
        <f t="shared" ca="1" si="13"/>
        <v>4.4186193158882414E-4</v>
      </c>
      <c r="AG61">
        <f t="shared" ca="1" si="19"/>
        <v>47.572580166099975</v>
      </c>
      <c r="AH61">
        <f t="shared" ca="1" si="14"/>
        <v>3.6121613408749927E-2</v>
      </c>
      <c r="AI61" s="23">
        <f t="shared" ca="1" si="20"/>
        <v>3.6129473096421914E-2</v>
      </c>
      <c r="AJ61">
        <f t="shared" ca="1" si="15"/>
        <v>7.5553647670139519</v>
      </c>
      <c r="AK61">
        <f t="shared" ca="1" si="24"/>
        <v>1.7183983496166277</v>
      </c>
      <c r="AL61">
        <f t="shared" ca="1" si="16"/>
        <v>5.3491425868641072</v>
      </c>
      <c r="AM61" s="16">
        <f t="shared" ca="1" si="21"/>
        <v>206766.37826513639</v>
      </c>
      <c r="AN61" s="16">
        <f t="shared" ca="1" si="25"/>
        <v>0.89616085012634783</v>
      </c>
      <c r="AO61">
        <f t="shared" ca="1" si="22"/>
        <v>265120.94737304962</v>
      </c>
      <c r="AP61">
        <f t="shared" ca="1" si="27"/>
        <v>315838.68393648596</v>
      </c>
      <c r="AQ61">
        <f t="shared" ca="1" si="27"/>
        <v>347144.03058559471</v>
      </c>
      <c r="AR61">
        <f t="shared" ca="1" si="27"/>
        <v>348839.31397401437</v>
      </c>
      <c r="AS61">
        <f t="shared" ca="1" si="27"/>
        <v>349354.8768111752</v>
      </c>
      <c r="AT61">
        <f t="shared" ca="1" si="27"/>
        <v>348839.31397401437</v>
      </c>
      <c r="AU61">
        <f t="shared" ca="1" si="27"/>
        <v>347144.03058559471</v>
      </c>
      <c r="AV61">
        <f t="shared" ca="1" si="27"/>
        <v>315838.68393648596</v>
      </c>
      <c r="AW61">
        <f t="shared" ca="1" si="27"/>
        <v>265120.94737304962</v>
      </c>
      <c r="AX61">
        <f t="shared" ca="1" si="27"/>
        <v>209445.64219956845</v>
      </c>
      <c r="AY61">
        <f t="shared" ca="1" si="27"/>
        <v>155056.89483302031</v>
      </c>
      <c r="AZ61">
        <f t="shared" ca="1" si="27"/>
        <v>107826.98444155979</v>
      </c>
      <c r="BA61">
        <f t="shared" ca="1" si="27"/>
        <v>72098.289826719978</v>
      </c>
      <c r="BB61">
        <f t="shared" ca="1" si="27"/>
        <v>50189.122156400685</v>
      </c>
      <c r="BC61">
        <f t="shared" ca="1" si="27"/>
        <v>42852.86983872456</v>
      </c>
      <c r="BD61">
        <f t="shared" ca="1" si="27"/>
        <v>50189.122156400685</v>
      </c>
      <c r="BE61">
        <f t="shared" ca="1" si="27"/>
        <v>72098.28982671992</v>
      </c>
      <c r="BF61">
        <f t="shared" ca="1" si="27"/>
        <v>107826.98444155973</v>
      </c>
      <c r="BG61">
        <f t="shared" ca="1" si="27"/>
        <v>155056.89483302034</v>
      </c>
      <c r="BH61">
        <f t="shared" ca="1" si="27"/>
        <v>209445.64219956836</v>
      </c>
      <c r="BI61">
        <f t="shared" ca="1" si="23"/>
        <v>0</v>
      </c>
      <c r="BJ61">
        <f t="shared" ca="1" si="18"/>
        <v>0</v>
      </c>
      <c r="BK61">
        <f t="shared" ca="1" si="26"/>
        <v>0</v>
      </c>
    </row>
    <row r="62" spans="27:63" x14ac:dyDescent="0.3">
      <c r="AA62" s="89">
        <v>22</v>
      </c>
      <c r="AB62" s="23">
        <f ca="1">Performance!B105</f>
        <v>34020.000000000007</v>
      </c>
      <c r="AC62" s="23">
        <f ca="1">Performance!D105</f>
        <v>436740.99071727955</v>
      </c>
      <c r="AD62" s="23"/>
      <c r="AE62" s="23">
        <f ca="1">Performance!G105</f>
        <v>6.9803235322690123</v>
      </c>
      <c r="AF62">
        <f t="shared" ca="1" si="13"/>
        <v>4.4186193158882414E-4</v>
      </c>
      <c r="AG62">
        <f t="shared" ca="1" si="19"/>
        <v>47.572580166099975</v>
      </c>
      <c r="AH62">
        <f t="shared" ca="1" si="14"/>
        <v>3.6121613408749927E-2</v>
      </c>
      <c r="AI62" s="23">
        <f t="shared" ca="1" si="20"/>
        <v>3.6129473096421914E-2</v>
      </c>
      <c r="AJ62">
        <f t="shared" ca="1" si="15"/>
        <v>7.5553647670139519</v>
      </c>
      <c r="AK62">
        <f t="shared" ca="1" si="24"/>
        <v>1.7183983496166277</v>
      </c>
      <c r="AL62">
        <f t="shared" ca="1" si="16"/>
        <v>5.3491425868641072</v>
      </c>
      <c r="AM62" s="16">
        <f t="shared" ca="1" si="21"/>
        <v>206766.37826513639</v>
      </c>
      <c r="AN62" s="16">
        <f ca="1">MAX(0,AM62/ABS(BI92))</f>
        <v>0.89616085012634783</v>
      </c>
      <c r="AO62">
        <f t="shared" ca="1" si="22"/>
        <v>265120.94737304962</v>
      </c>
      <c r="AP62">
        <f t="shared" ca="1" si="27"/>
        <v>315838.68393648596</v>
      </c>
      <c r="AQ62">
        <f t="shared" ca="1" si="27"/>
        <v>347144.03058559471</v>
      </c>
      <c r="AR62">
        <f t="shared" ca="1" si="27"/>
        <v>348839.31397401437</v>
      </c>
      <c r="AS62">
        <f t="shared" ca="1" si="27"/>
        <v>349354.8768111752</v>
      </c>
      <c r="AT62">
        <f t="shared" ca="1" si="27"/>
        <v>348839.31397401437</v>
      </c>
      <c r="AU62">
        <f t="shared" ca="1" si="27"/>
        <v>347144.03058559471</v>
      </c>
      <c r="AV62">
        <f t="shared" ca="1" si="27"/>
        <v>315838.68393648596</v>
      </c>
      <c r="AW62">
        <f t="shared" ca="1" si="27"/>
        <v>265120.94737304962</v>
      </c>
      <c r="AX62">
        <f t="shared" ca="1" si="27"/>
        <v>209445.64219956845</v>
      </c>
      <c r="AY62">
        <f t="shared" ca="1" si="27"/>
        <v>155056.89483302031</v>
      </c>
      <c r="AZ62">
        <f t="shared" ca="1" si="27"/>
        <v>107826.98444155979</v>
      </c>
      <c r="BA62">
        <f t="shared" ca="1" si="27"/>
        <v>72098.289826719978</v>
      </c>
      <c r="BB62">
        <f t="shared" ca="1" si="27"/>
        <v>50189.122156400685</v>
      </c>
      <c r="BC62">
        <f t="shared" ca="1" si="27"/>
        <v>42852.86983872456</v>
      </c>
      <c r="BD62">
        <f t="shared" ca="1" si="27"/>
        <v>50189.122156400685</v>
      </c>
      <c r="BE62">
        <f t="shared" ca="1" si="27"/>
        <v>72098.28982671992</v>
      </c>
      <c r="BF62">
        <f t="shared" ca="1" si="27"/>
        <v>107826.98444155973</v>
      </c>
      <c r="BG62">
        <f t="shared" ca="1" si="27"/>
        <v>155056.89483302034</v>
      </c>
      <c r="BH62">
        <f t="shared" ca="1" si="27"/>
        <v>209445.64219956836</v>
      </c>
      <c r="BI62">
        <f t="shared" ca="1" si="23"/>
        <v>0</v>
      </c>
      <c r="BJ62">
        <f t="shared" ca="1" si="18"/>
        <v>0</v>
      </c>
      <c r="BK62">
        <f t="shared" ca="1" si="26"/>
        <v>0</v>
      </c>
    </row>
    <row r="63" spans="27:63" x14ac:dyDescent="0.3">
      <c r="AA63" s="89">
        <v>23</v>
      </c>
      <c r="AB63" s="23">
        <f ca="1">Performance!B106</f>
        <v>34020.000000000007</v>
      </c>
      <c r="AC63" s="23">
        <f ca="1">Performance!D106</f>
        <v>468283.7854496417</v>
      </c>
      <c r="AD63" s="23"/>
      <c r="AE63" s="23">
        <f ca="1">Performance!G106</f>
        <v>6.9803235322690123</v>
      </c>
      <c r="AF63">
        <f t="shared" ca="1" si="13"/>
        <v>4.4186193158882414E-4</v>
      </c>
      <c r="AG63">
        <f t="shared" ca="1" si="19"/>
        <v>47.572580166099975</v>
      </c>
      <c r="AH63">
        <f t="shared" ca="1" si="14"/>
        <v>3.6121613408749927E-2</v>
      </c>
      <c r="AI63" s="23">
        <f t="shared" ca="1" si="20"/>
        <v>3.6129473096421914E-2</v>
      </c>
      <c r="AJ63">
        <f t="shared" ca="1" si="15"/>
        <v>7.5553647670139519</v>
      </c>
      <c r="AK63">
        <f t="shared" ca="1" si="24"/>
        <v>1.7183983496166277</v>
      </c>
      <c r="AL63">
        <f t="shared" ca="1" si="16"/>
        <v>5.3491425868641072</v>
      </c>
      <c r="AM63" s="16">
        <f t="shared" ca="1" si="21"/>
        <v>206766.37826513639</v>
      </c>
      <c r="AN63" s="16">
        <f t="shared" ca="1" si="25"/>
        <v>0.89616085012634783</v>
      </c>
      <c r="AO63">
        <f t="shared" ca="1" si="22"/>
        <v>265120.94737304962</v>
      </c>
      <c r="AP63">
        <f t="shared" ca="1" si="27"/>
        <v>315838.68393648596</v>
      </c>
      <c r="AQ63">
        <f t="shared" ca="1" si="27"/>
        <v>347144.03058559471</v>
      </c>
      <c r="AR63">
        <f t="shared" ca="1" si="27"/>
        <v>348839.31397401437</v>
      </c>
      <c r="AS63">
        <f t="shared" ca="1" si="27"/>
        <v>349354.8768111752</v>
      </c>
      <c r="AT63">
        <f t="shared" ca="1" si="27"/>
        <v>348839.31397401437</v>
      </c>
      <c r="AU63">
        <f t="shared" ca="1" si="27"/>
        <v>347144.03058559471</v>
      </c>
      <c r="AV63">
        <f t="shared" ca="1" si="27"/>
        <v>315838.68393648596</v>
      </c>
      <c r="AW63">
        <f t="shared" ca="1" si="27"/>
        <v>265120.94737304962</v>
      </c>
      <c r="AX63">
        <f t="shared" ca="1" si="27"/>
        <v>209445.64219956845</v>
      </c>
      <c r="AY63">
        <f t="shared" ca="1" si="27"/>
        <v>155056.89483302031</v>
      </c>
      <c r="AZ63">
        <f t="shared" ca="1" si="27"/>
        <v>107826.98444155979</v>
      </c>
      <c r="BA63">
        <f t="shared" ca="1" si="27"/>
        <v>72098.289826719978</v>
      </c>
      <c r="BB63">
        <f t="shared" ca="1" si="27"/>
        <v>50189.122156400685</v>
      </c>
      <c r="BC63">
        <f t="shared" ca="1" si="27"/>
        <v>42852.86983872456</v>
      </c>
      <c r="BD63">
        <f t="shared" ca="1" si="27"/>
        <v>50189.122156400685</v>
      </c>
      <c r="BE63">
        <f t="shared" ca="1" si="27"/>
        <v>72098.28982671992</v>
      </c>
      <c r="BF63">
        <f t="shared" ca="1" si="27"/>
        <v>107826.98444155973</v>
      </c>
      <c r="BG63">
        <f t="shared" ca="1" si="27"/>
        <v>155056.89483302034</v>
      </c>
      <c r="BH63">
        <f t="shared" ca="1" si="27"/>
        <v>209445.64219956836</v>
      </c>
      <c r="BI63">
        <f t="shared" ca="1" si="23"/>
        <v>0</v>
      </c>
      <c r="BJ63">
        <f t="shared" ca="1" si="18"/>
        <v>0</v>
      </c>
      <c r="BK63">
        <f t="shared" ca="1" si="26"/>
        <v>0</v>
      </c>
    </row>
    <row r="64" spans="27:63" x14ac:dyDescent="0.3">
      <c r="AA64" s="89">
        <v>24</v>
      </c>
      <c r="AB64" s="23">
        <f ca="1">Performance!B107</f>
        <v>34020.000000000007</v>
      </c>
      <c r="AC64" s="23">
        <f ca="1">Performance!D107</f>
        <v>499826.58018200385</v>
      </c>
      <c r="AD64" s="23"/>
      <c r="AE64" s="23">
        <f ca="1">Performance!G107</f>
        <v>6.9803235322690123</v>
      </c>
      <c r="AF64">
        <f t="shared" ca="1" si="13"/>
        <v>4.4186193158882414E-4</v>
      </c>
      <c r="AG64">
        <f t="shared" ca="1" si="19"/>
        <v>47.572580166099975</v>
      </c>
      <c r="AH64">
        <f t="shared" ca="1" si="14"/>
        <v>3.6121613408749927E-2</v>
      </c>
      <c r="AI64" s="23">
        <f t="shared" ca="1" si="20"/>
        <v>3.6129473096421914E-2</v>
      </c>
      <c r="AJ64">
        <f t="shared" ca="1" si="15"/>
        <v>7.5553647670139519</v>
      </c>
      <c r="AK64">
        <f t="shared" ca="1" si="24"/>
        <v>1.7183983496166277</v>
      </c>
      <c r="AL64">
        <f t="shared" ca="1" si="16"/>
        <v>5.3491425868641072</v>
      </c>
      <c r="AM64" s="16">
        <f t="shared" ca="1" si="21"/>
        <v>206766.37826513639</v>
      </c>
      <c r="AN64" s="16">
        <f t="shared" ca="1" si="25"/>
        <v>0.89616085012634783</v>
      </c>
      <c r="AO64">
        <f t="shared" ca="1" si="22"/>
        <v>265120.94737304962</v>
      </c>
      <c r="AP64">
        <f t="shared" ca="1" si="27"/>
        <v>315838.68393648596</v>
      </c>
      <c r="AQ64">
        <f t="shared" ca="1" si="27"/>
        <v>347144.03058559471</v>
      </c>
      <c r="AR64">
        <f t="shared" ca="1" si="27"/>
        <v>348839.31397401437</v>
      </c>
      <c r="AS64">
        <f t="shared" ca="1" si="27"/>
        <v>349354.8768111752</v>
      </c>
      <c r="AT64">
        <f t="shared" ca="1" si="27"/>
        <v>348839.31397401437</v>
      </c>
      <c r="AU64">
        <f t="shared" ca="1" si="27"/>
        <v>347144.03058559471</v>
      </c>
      <c r="AV64">
        <f t="shared" ca="1" si="27"/>
        <v>315838.68393648596</v>
      </c>
      <c r="AW64">
        <f t="shared" ca="1" si="27"/>
        <v>265120.94737304962</v>
      </c>
      <c r="AX64">
        <f t="shared" ca="1" si="27"/>
        <v>209445.64219956845</v>
      </c>
      <c r="AY64">
        <f t="shared" ca="1" si="27"/>
        <v>155056.89483302031</v>
      </c>
      <c r="AZ64">
        <f t="shared" ca="1" si="27"/>
        <v>107826.98444155979</v>
      </c>
      <c r="BA64">
        <f t="shared" ca="1" si="27"/>
        <v>72098.289826719978</v>
      </c>
      <c r="BB64">
        <f t="shared" ca="1" si="27"/>
        <v>50189.122156400685</v>
      </c>
      <c r="BC64">
        <f t="shared" ca="1" si="27"/>
        <v>42852.86983872456</v>
      </c>
      <c r="BD64">
        <f t="shared" ca="1" si="27"/>
        <v>50189.122156400685</v>
      </c>
      <c r="BE64">
        <f t="shared" ca="1" si="27"/>
        <v>72098.28982671992</v>
      </c>
      <c r="BF64">
        <f t="shared" ca="1" si="27"/>
        <v>107826.98444155973</v>
      </c>
      <c r="BG64">
        <f t="shared" ca="1" si="27"/>
        <v>155056.89483302034</v>
      </c>
      <c r="BH64">
        <f t="shared" ca="1" si="27"/>
        <v>209445.64219956836</v>
      </c>
      <c r="BI64">
        <f t="shared" ca="1" si="23"/>
        <v>0</v>
      </c>
      <c r="BJ64">
        <f t="shared" ca="1" si="18"/>
        <v>0</v>
      </c>
      <c r="BK64">
        <f t="shared" ca="1" si="26"/>
        <v>0</v>
      </c>
    </row>
    <row r="65" spans="27:63" x14ac:dyDescent="0.3">
      <c r="AA65" s="89">
        <v>25</v>
      </c>
      <c r="AB65" s="23">
        <f ca="1">Performance!B108</f>
        <v>34020.000000000007</v>
      </c>
      <c r="AC65" s="23">
        <f ca="1">Performance!D108</f>
        <v>531369.37491436594</v>
      </c>
      <c r="AD65" s="23"/>
      <c r="AE65" s="23">
        <f ca="1">Performance!G108</f>
        <v>6.9803235322690123</v>
      </c>
      <c r="AF65">
        <f t="shared" ca="1" si="13"/>
        <v>4.4186193158882414E-4</v>
      </c>
      <c r="AG65">
        <f ca="1">1/SQRT(AF65)</f>
        <v>47.572580166099975</v>
      </c>
      <c r="AH65">
        <f t="shared" ca="1" si="14"/>
        <v>3.6121613408749927E-2</v>
      </c>
      <c r="AI65" s="23">
        <f t="shared" ca="1" si="20"/>
        <v>3.6129473096421914E-2</v>
      </c>
      <c r="AJ65">
        <f t="shared" ca="1" si="15"/>
        <v>7.5553647670139519</v>
      </c>
      <c r="AK65">
        <f t="shared" ca="1" si="24"/>
        <v>1.7183983496166277</v>
      </c>
      <c r="AL65">
        <f t="shared" ca="1" si="16"/>
        <v>5.3491425868641072</v>
      </c>
      <c r="AM65" s="16">
        <f t="shared" ca="1" si="21"/>
        <v>206766.37826513639</v>
      </c>
      <c r="AN65" s="16">
        <f ca="1">MAX(0,AM65/ABS(BI95))</f>
        <v>0.89616085012634783</v>
      </c>
      <c r="AO65">
        <f t="shared" ca="1" si="22"/>
        <v>265120.94737304962</v>
      </c>
      <c r="AP65">
        <f t="shared" ca="1" si="27"/>
        <v>315838.68393648596</v>
      </c>
      <c r="AQ65">
        <f t="shared" ca="1" si="27"/>
        <v>347144.03058559471</v>
      </c>
      <c r="AR65">
        <f t="shared" ca="1" si="27"/>
        <v>348839.31397401437</v>
      </c>
      <c r="AS65">
        <f t="shared" ca="1" si="27"/>
        <v>349354.8768111752</v>
      </c>
      <c r="AT65">
        <f t="shared" ca="1" si="27"/>
        <v>348839.31397401437</v>
      </c>
      <c r="AU65">
        <f t="shared" ca="1" si="27"/>
        <v>347144.03058559471</v>
      </c>
      <c r="AV65">
        <f t="shared" ca="1" si="27"/>
        <v>315838.68393648596</v>
      </c>
      <c r="AW65">
        <f t="shared" ca="1" si="27"/>
        <v>265120.94737304962</v>
      </c>
      <c r="AX65">
        <f t="shared" ca="1" si="27"/>
        <v>209445.64219956845</v>
      </c>
      <c r="AY65">
        <f t="shared" ca="1" si="27"/>
        <v>155056.89483302031</v>
      </c>
      <c r="AZ65">
        <f t="shared" ca="1" si="27"/>
        <v>107826.98444155979</v>
      </c>
      <c r="BA65">
        <f t="shared" ca="1" si="27"/>
        <v>72098.289826719978</v>
      </c>
      <c r="BB65">
        <f t="shared" ca="1" si="27"/>
        <v>50189.122156400685</v>
      </c>
      <c r="BC65">
        <f t="shared" ca="1" si="27"/>
        <v>42852.86983872456</v>
      </c>
      <c r="BD65">
        <f t="shared" ca="1" si="27"/>
        <v>50189.122156400685</v>
      </c>
      <c r="BE65">
        <f t="shared" ca="1" si="27"/>
        <v>72098.28982671992</v>
      </c>
      <c r="BF65">
        <f t="shared" ca="1" si="27"/>
        <v>107826.98444155973</v>
      </c>
      <c r="BG65">
        <f t="shared" ca="1" si="27"/>
        <v>155056.89483302034</v>
      </c>
      <c r="BH65">
        <f t="shared" ca="1" si="27"/>
        <v>209445.64219956836</v>
      </c>
      <c r="BI65">
        <f t="shared" ca="1" si="23"/>
        <v>0</v>
      </c>
      <c r="BJ65">
        <f t="shared" ca="1" si="18"/>
        <v>0</v>
      </c>
      <c r="BK65">
        <f t="shared" ca="1" si="26"/>
        <v>0</v>
      </c>
    </row>
    <row r="66" spans="27:63" x14ac:dyDescent="0.3">
      <c r="AM66" s="90">
        <f ca="1">SUMPRODUCT(AM47:AM65,BJ77:BJ95,Performance!W90:W108)/SUM(BJ77:BJ95)</f>
        <v>93013.231094124058</v>
      </c>
      <c r="AN66" s="93">
        <f ca="1">AM21</f>
        <v>0.86834814565704188</v>
      </c>
      <c r="BI66" s="90">
        <f ca="1">SUM(BI41:BI65)</f>
        <v>14.043278389323669</v>
      </c>
      <c r="BJ66" s="90">
        <f ca="1">SUM(BJ41:BJ65)</f>
        <v>0</v>
      </c>
      <c r="BK66" s="90">
        <f ca="1">SUM(BK41:BK65)</f>
        <v>12.608542589960958</v>
      </c>
    </row>
    <row r="67" spans="27:63" x14ac:dyDescent="0.3">
      <c r="AK67" s="1947"/>
      <c r="AL67" s="1947"/>
      <c r="AM67" s="1947" t="s">
        <v>1719</v>
      </c>
      <c r="AN67" s="1947"/>
      <c r="AO67" s="1947"/>
    </row>
    <row r="68" spans="27:63" x14ac:dyDescent="0.3">
      <c r="AN68" s="686"/>
      <c r="AO68" s="686"/>
    </row>
    <row r="70" spans="27:63" x14ac:dyDescent="0.3">
      <c r="AA70" t="str">
        <f t="shared" ref="AA70:BH70" si="28">AA40</f>
        <v>Wind</v>
      </c>
      <c r="AB70" t="str">
        <f t="shared" si="28"/>
        <v>Tension</v>
      </c>
      <c r="AC70" t="str">
        <f t="shared" si="28"/>
        <v>MechPwr</v>
      </c>
      <c r="AD70">
        <f t="shared" si="28"/>
        <v>0</v>
      </c>
      <c r="AE70" t="str">
        <f t="shared" si="28"/>
        <v>V_RO</v>
      </c>
      <c r="AF70" t="str">
        <f t="shared" si="28"/>
        <v>a</v>
      </c>
      <c r="AG70" t="str">
        <f t="shared" si="28"/>
        <v>Va</v>
      </c>
      <c r="AH70" t="str">
        <f t="shared" si="28"/>
        <v>s</v>
      </c>
      <c r="AI70" t="str">
        <f t="shared" si="28"/>
        <v>gamma</v>
      </c>
      <c r="AJ70" t="str">
        <f t="shared" si="28"/>
        <v>Vsink_simple</v>
      </c>
      <c r="AK70" t="str">
        <f t="shared" si="28"/>
        <v>Vsink_down</v>
      </c>
      <c r="AL70" t="str">
        <f t="shared" si="28"/>
        <v>delta</v>
      </c>
      <c r="AO70" s="89">
        <f t="shared" si="28"/>
        <v>1</v>
      </c>
      <c r="AP70" s="89">
        <f t="shared" si="28"/>
        <v>2</v>
      </c>
      <c r="AQ70" s="89">
        <f t="shared" si="28"/>
        <v>3</v>
      </c>
      <c r="AR70" s="89">
        <f t="shared" si="28"/>
        <v>4</v>
      </c>
      <c r="AS70" s="89">
        <f t="shared" si="28"/>
        <v>5</v>
      </c>
      <c r="AT70" s="89">
        <f t="shared" si="28"/>
        <v>6</v>
      </c>
      <c r="AU70" s="89">
        <f t="shared" si="28"/>
        <v>7</v>
      </c>
      <c r="AV70" s="89">
        <f t="shared" si="28"/>
        <v>8</v>
      </c>
      <c r="AW70" s="89">
        <f t="shared" si="28"/>
        <v>9</v>
      </c>
      <c r="AX70" s="89">
        <f t="shared" si="28"/>
        <v>10</v>
      </c>
      <c r="AY70" s="89">
        <f t="shared" si="28"/>
        <v>11</v>
      </c>
      <c r="AZ70" s="89">
        <f t="shared" si="28"/>
        <v>12</v>
      </c>
      <c r="BA70" s="89">
        <f t="shared" si="28"/>
        <v>13</v>
      </c>
      <c r="BB70" s="89">
        <f t="shared" si="28"/>
        <v>14</v>
      </c>
      <c r="BC70" s="89">
        <f t="shared" si="28"/>
        <v>15</v>
      </c>
      <c r="BD70" s="89">
        <f t="shared" si="28"/>
        <v>16</v>
      </c>
      <c r="BE70" s="89">
        <f t="shared" si="28"/>
        <v>17</v>
      </c>
      <c r="BF70" s="89">
        <f t="shared" si="28"/>
        <v>18</v>
      </c>
      <c r="BG70" s="89">
        <f t="shared" si="28"/>
        <v>19</v>
      </c>
      <c r="BH70" s="89">
        <f t="shared" si="28"/>
        <v>20</v>
      </c>
      <c r="BI70" s="89" t="str">
        <f>AM40</f>
        <v>Average</v>
      </c>
      <c r="BJ70" s="89" t="s">
        <v>15</v>
      </c>
    </row>
    <row r="71" spans="27:63" x14ac:dyDescent="0.3">
      <c r="AA71">
        <f t="shared" ref="AA71:AL71" si="29">AA41</f>
        <v>1</v>
      </c>
      <c r="AB71">
        <f t="shared" ca="1" si="29"/>
        <v>215.32125331349559</v>
      </c>
      <c r="AC71">
        <f t="shared" ca="1" si="29"/>
        <v>0</v>
      </c>
      <c r="AD71">
        <f t="shared" si="29"/>
        <v>0</v>
      </c>
      <c r="AE71">
        <f t="shared" ca="1" si="29"/>
        <v>0</v>
      </c>
      <c r="AF71">
        <f t="shared" ca="1" si="29"/>
        <v>3.6562827069262891E-3</v>
      </c>
      <c r="AG71">
        <f t="shared" ca="1" si="29"/>
        <v>16.53789064234088</v>
      </c>
      <c r="AH71">
        <f t="shared" ca="1" si="29"/>
        <v>-0.97821306164628052</v>
      </c>
      <c r="AI71">
        <f t="shared" ca="1" si="29"/>
        <v>-1.3616718996914388</v>
      </c>
      <c r="AJ71">
        <f t="shared" ca="1" si="29"/>
        <v>0.60107924392291923</v>
      </c>
      <c r="AK71">
        <f t="shared" ca="1" si="29"/>
        <v>-16.177580638415645</v>
      </c>
      <c r="AL71">
        <f t="shared" ca="1" si="29"/>
        <v>15.376385216063184</v>
      </c>
      <c r="AO71">
        <f ca="1">MIN($AB41*($AE41+SIN(AO$40/20*2*PI())*$AL41),$X$9*$X$12)</f>
        <v>1023.112789710872</v>
      </c>
      <c r="AP71">
        <f t="shared" ref="AP71:BH85" ca="1" si="30">MIN($AB41*($AE41+SIN(AP$40/20*2*PI())*$AL41),$X$9*$X$12)</f>
        <v>1946.0761711188761</v>
      </c>
      <c r="AQ71">
        <f t="shared" ca="1" si="30"/>
        <v>2678.5440577877871</v>
      </c>
      <c r="AR71">
        <f t="shared" ca="1" si="30"/>
        <v>3148.8173895665977</v>
      </c>
      <c r="AS71">
        <f t="shared" ca="1" si="30"/>
        <v>3310.8625361538293</v>
      </c>
      <c r="AT71">
        <f t="shared" ca="1" si="30"/>
        <v>3148.8173895665982</v>
      </c>
      <c r="AU71">
        <f t="shared" ca="1" si="30"/>
        <v>2678.5440577877871</v>
      </c>
      <c r="AV71">
        <f t="shared" ca="1" si="30"/>
        <v>1946.0761711188763</v>
      </c>
      <c r="AW71">
        <f t="shared" ca="1" si="30"/>
        <v>1023.1127897108723</v>
      </c>
      <c r="AX71">
        <f t="shared" ca="1" si="30"/>
        <v>4.0562981205836992E-13</v>
      </c>
      <c r="AY71">
        <f t="shared" ca="1" si="30"/>
        <v>-1023.1127897108731</v>
      </c>
      <c r="AZ71">
        <f t="shared" ca="1" si="30"/>
        <v>-1946.0761711188757</v>
      </c>
      <c r="BA71">
        <f t="shared" ca="1" si="30"/>
        <v>-2678.5440577877866</v>
      </c>
      <c r="BB71">
        <f t="shared" ca="1" si="30"/>
        <v>-3148.8173895665977</v>
      </c>
      <c r="BC71">
        <f t="shared" ca="1" si="30"/>
        <v>-3310.8625361538293</v>
      </c>
      <c r="BD71">
        <f t="shared" ca="1" si="30"/>
        <v>-3148.8173895665982</v>
      </c>
      <c r="BE71">
        <f t="shared" ca="1" si="30"/>
        <v>-2678.5440577877871</v>
      </c>
      <c r="BF71">
        <f t="shared" ca="1" si="30"/>
        <v>-1946.0761711188768</v>
      </c>
      <c r="BG71">
        <f t="shared" ca="1" si="30"/>
        <v>-1023.1127897108728</v>
      </c>
      <c r="BH71">
        <f t="shared" ca="1" si="30"/>
        <v>-8.1125962411673984E-13</v>
      </c>
      <c r="BI71" s="16">
        <f t="shared" ref="BI71:BI95" ca="1" si="31">SUM(AO71:BH71)/20</f>
        <v>-3.9867652002892749E-13</v>
      </c>
      <c r="BJ71">
        <f ca="1">Performance!AM83</f>
        <v>1.4068678709234014E-6</v>
      </c>
    </row>
    <row r="72" spans="27:63" x14ac:dyDescent="0.3">
      <c r="AA72">
        <f t="shared" ref="AA72:AL72" si="32">AA42</f>
        <v>2</v>
      </c>
      <c r="AB72">
        <f ca="1">AB42</f>
        <v>861.28501325398236</v>
      </c>
      <c r="AC72">
        <f t="shared" ca="1" si="32"/>
        <v>0</v>
      </c>
      <c r="AD72">
        <f t="shared" si="32"/>
        <v>0</v>
      </c>
      <c r="AE72">
        <f t="shared" ca="1" si="32"/>
        <v>0</v>
      </c>
      <c r="AF72">
        <f t="shared" ca="1" si="32"/>
        <v>3.5843421905511065E-3</v>
      </c>
      <c r="AG72">
        <f t="shared" ca="1" si="32"/>
        <v>16.703030258657673</v>
      </c>
      <c r="AH72">
        <f t="shared" ca="1" si="32"/>
        <v>-0.93504213578204087</v>
      </c>
      <c r="AI72">
        <f t="shared" ca="1" si="32"/>
        <v>-1.2083778933669176</v>
      </c>
      <c r="AJ72">
        <f t="shared" ca="1" si="32"/>
        <v>1.2021584878458385</v>
      </c>
      <c r="AK72">
        <f t="shared" ca="1" si="32"/>
        <v>-15.618037087087325</v>
      </c>
      <c r="AL72">
        <f t="shared" ca="1" si="32"/>
        <v>15.414449567687763</v>
      </c>
      <c r="AO72">
        <f t="shared" ref="AO72:BD95" ca="1" si="33">MIN($AB42*($AE42+SIN(AO$40/20*2*PI())*$AL42),$X$9*$X$12)</f>
        <v>4102.5820509698051</v>
      </c>
      <c r="AP72">
        <f t="shared" ca="1" si="33"/>
        <v>7803.5747864207378</v>
      </c>
      <c r="AQ72">
        <f t="shared" ca="1" si="33"/>
        <v>10740.699251074204</v>
      </c>
      <c r="AR72">
        <f t="shared" ca="1" si="33"/>
        <v>12626.449238180456</v>
      </c>
      <c r="AS72">
        <f t="shared" ca="1" si="33"/>
        <v>13276.234400208798</v>
      </c>
      <c r="AT72">
        <f t="shared" ca="1" si="33"/>
        <v>12626.449238180458</v>
      </c>
      <c r="AU72">
        <f t="shared" ca="1" si="33"/>
        <v>10740.699251074204</v>
      </c>
      <c r="AV72">
        <f t="shared" ca="1" si="33"/>
        <v>7803.5747864207397</v>
      </c>
      <c r="AW72">
        <f t="shared" ca="1" si="33"/>
        <v>4102.5820509698069</v>
      </c>
      <c r="AX72">
        <f t="shared" ca="1" si="33"/>
        <v>1.6265358062420475E-12</v>
      </c>
      <c r="AY72">
        <f t="shared" ca="1" si="33"/>
        <v>-4102.5820509698096</v>
      </c>
      <c r="AZ72">
        <f t="shared" ca="1" si="33"/>
        <v>-7803.5747864207378</v>
      </c>
      <c r="BA72">
        <f t="shared" ca="1" si="33"/>
        <v>-10740.699251074204</v>
      </c>
      <c r="BB72">
        <f t="shared" ca="1" si="33"/>
        <v>-12626.449238180456</v>
      </c>
      <c r="BC72">
        <f t="shared" ca="1" si="33"/>
        <v>-13276.234400208798</v>
      </c>
      <c r="BD72">
        <f t="shared" ca="1" si="33"/>
        <v>-12626.449238180458</v>
      </c>
      <c r="BE72">
        <f t="shared" ca="1" si="30"/>
        <v>-10740.699251074206</v>
      </c>
      <c r="BF72">
        <f t="shared" ca="1" si="30"/>
        <v>-7803.5747864207415</v>
      </c>
      <c r="BG72">
        <f t="shared" ca="1" si="30"/>
        <v>-4102.5820509698078</v>
      </c>
      <c r="BH72">
        <f t="shared" ca="1" si="30"/>
        <v>-3.2530716124840951E-12</v>
      </c>
      <c r="BI72" s="16">
        <f t="shared" ca="1" si="31"/>
        <v>-2.9907778589014397E-13</v>
      </c>
      <c r="BJ72">
        <f ca="1">Performance!AM84</f>
        <v>1.397006210786607E-2</v>
      </c>
    </row>
    <row r="73" spans="27:63" x14ac:dyDescent="0.3">
      <c r="AA73">
        <f t="shared" ref="AA73:AL73" si="34">AA43</f>
        <v>3</v>
      </c>
      <c r="AB73">
        <f t="shared" ca="1" si="34"/>
        <v>1937.8912798214601</v>
      </c>
      <c r="AC73">
        <f t="shared" ca="1" si="34"/>
        <v>3255.1517083850622</v>
      </c>
      <c r="AD73">
        <f t="shared" si="34"/>
        <v>0</v>
      </c>
      <c r="AE73">
        <f t="shared" ca="1" si="34"/>
        <v>1.6797390763247373</v>
      </c>
      <c r="AF73">
        <f t="shared" ca="1" si="34"/>
        <v>3.315360178786665E-3</v>
      </c>
      <c r="AG73">
        <f t="shared" ca="1" si="34"/>
        <v>17.367393388703476</v>
      </c>
      <c r="AH73">
        <f t="shared" ca="1" si="34"/>
        <v>-0.82799249617705017</v>
      </c>
      <c r="AI73">
        <f t="shared" ca="1" si="34"/>
        <v>-0.97551806066490743</v>
      </c>
      <c r="AJ73">
        <f t="shared" ca="1" si="34"/>
        <v>1.8032377317687576</v>
      </c>
      <c r="AK73">
        <f t="shared" ca="1" si="34"/>
        <v>-14.38007140400139</v>
      </c>
      <c r="AL73">
        <f t="shared" ca="1" si="34"/>
        <v>14.830790843085715</v>
      </c>
      <c r="AO73">
        <f t="shared" ca="1" si="33"/>
        <v>12136.442351073249</v>
      </c>
      <c r="AP73">
        <f t="shared" ca="1" si="30"/>
        <v>20148.370386064606</v>
      </c>
      <c r="AQ73">
        <f t="shared" ca="1" si="30"/>
        <v>26506.672474909137</v>
      </c>
      <c r="AR73">
        <f t="shared" ca="1" si="30"/>
        <v>30588.953708255118</v>
      </c>
      <c r="AS73">
        <f t="shared" ca="1" si="30"/>
        <v>31995.61195605683</v>
      </c>
      <c r="AT73">
        <f t="shared" ca="1" si="30"/>
        <v>30588.953708255125</v>
      </c>
      <c r="AU73">
        <f t="shared" ca="1" si="30"/>
        <v>26506.672474909137</v>
      </c>
      <c r="AV73">
        <f t="shared" ca="1" si="30"/>
        <v>20148.370386064613</v>
      </c>
      <c r="AW73">
        <f t="shared" ca="1" si="30"/>
        <v>12136.442351073252</v>
      </c>
      <c r="AX73">
        <f t="shared" ca="1" si="30"/>
        <v>3255.1517083850658</v>
      </c>
      <c r="AY73">
        <f t="shared" ca="1" si="30"/>
        <v>-5626.1389343031333</v>
      </c>
      <c r="AZ73">
        <f t="shared" ca="1" si="30"/>
        <v>-13638.066969294479</v>
      </c>
      <c r="BA73">
        <f t="shared" ca="1" si="30"/>
        <v>-19996.369058139007</v>
      </c>
      <c r="BB73">
        <f t="shared" ca="1" si="30"/>
        <v>-24078.650291484995</v>
      </c>
      <c r="BC73">
        <f t="shared" ca="1" si="30"/>
        <v>-25485.308539286707</v>
      </c>
      <c r="BD73">
        <f t="shared" ca="1" si="30"/>
        <v>-24078.650291484995</v>
      </c>
      <c r="BE73">
        <f t="shared" ca="1" si="30"/>
        <v>-19996.369058139015</v>
      </c>
      <c r="BF73">
        <f t="shared" ca="1" si="30"/>
        <v>-13638.066969294488</v>
      </c>
      <c r="BG73">
        <f t="shared" ca="1" si="30"/>
        <v>-5626.1389343031306</v>
      </c>
      <c r="BH73">
        <f t="shared" ca="1" si="30"/>
        <v>3255.1517083850554</v>
      </c>
      <c r="BI73" s="16">
        <f t="shared" ca="1" si="31"/>
        <v>3255.1517083850622</v>
      </c>
      <c r="BJ73">
        <f ca="1">Performance!AM85</f>
        <v>2.7356681126938204E-2</v>
      </c>
    </row>
    <row r="74" spans="27:63" x14ac:dyDescent="0.3">
      <c r="AA74">
        <f t="shared" ref="AA74:AL74" si="35">AA44</f>
        <v>4</v>
      </c>
      <c r="AB74">
        <f t="shared" ca="1" si="35"/>
        <v>3445.1400530159294</v>
      </c>
      <c r="AC74">
        <f t="shared" ca="1" si="35"/>
        <v>6613.0282215621719</v>
      </c>
      <c r="AD74">
        <f t="shared" si="35"/>
        <v>0</v>
      </c>
      <c r="AE74">
        <f t="shared" ca="1" si="35"/>
        <v>1.9195237696572085</v>
      </c>
      <c r="AF74">
        <f t="shared" ca="1" si="35"/>
        <v>2.8131457238316712E-3</v>
      </c>
      <c r="AG74">
        <f t="shared" ca="1" si="35"/>
        <v>18.854016602461559</v>
      </c>
      <c r="AH74">
        <f t="shared" ca="1" si="35"/>
        <v>-0.6587557193685265</v>
      </c>
      <c r="AI74">
        <f t="shared" ca="1" si="35"/>
        <v>-0.71916371733364748</v>
      </c>
      <c r="AJ74">
        <f t="shared" ca="1" si="35"/>
        <v>2.4043169756916769</v>
      </c>
      <c r="AK74">
        <f t="shared" ca="1" si="35"/>
        <v>-12.420191269940707</v>
      </c>
      <c r="AL74">
        <f t="shared" ca="1" si="35"/>
        <v>13.585551588866101</v>
      </c>
      <c r="AO74">
        <f t="shared" ca="1" si="33"/>
        <v>21076.299156086243</v>
      </c>
      <c r="AP74">
        <f t="shared" ca="1" si="30"/>
        <v>34123.804360005</v>
      </c>
      <c r="AQ74">
        <f t="shared" ca="1" si="30"/>
        <v>44478.36311664465</v>
      </c>
      <c r="AR74">
        <f t="shared" ca="1" si="30"/>
        <v>51126.399070452251</v>
      </c>
      <c r="AS74">
        <f t="shared" ca="1" si="30"/>
        <v>53417.156142678978</v>
      </c>
      <c r="AT74">
        <f t="shared" ca="1" si="30"/>
        <v>51126.399070452258</v>
      </c>
      <c r="AU74">
        <f ca="1">MIN($AB44*($AE44+SIN(AU$40/20*2*PI())*$AL44),$X$9*$X$12)</f>
        <v>44478.36311664465</v>
      </c>
      <c r="AV74">
        <f t="shared" ca="1" si="30"/>
        <v>34123.804360005</v>
      </c>
      <c r="AW74">
        <f t="shared" ca="1" si="30"/>
        <v>21076.29915608625</v>
      </c>
      <c r="AX74">
        <f t="shared" ca="1" si="30"/>
        <v>6613.0282215621774</v>
      </c>
      <c r="AY74">
        <f t="shared" ca="1" si="30"/>
        <v>-7850.2427129619127</v>
      </c>
      <c r="AZ74">
        <f t="shared" ca="1" si="30"/>
        <v>-20897.747916880649</v>
      </c>
      <c r="BA74">
        <f t="shared" ca="1" si="30"/>
        <v>-31252.306673520296</v>
      </c>
      <c r="BB74">
        <f t="shared" ca="1" si="30"/>
        <v>-37900.342627327904</v>
      </c>
      <c r="BC74">
        <f t="shared" ca="1" si="30"/>
        <v>-40191.09969955463</v>
      </c>
      <c r="BD74">
        <f t="shared" ca="1" si="30"/>
        <v>-37900.342627327911</v>
      </c>
      <c r="BE74">
        <f t="shared" ca="1" si="30"/>
        <v>-31252.306673520307</v>
      </c>
      <c r="BF74">
        <f t="shared" ca="1" si="30"/>
        <v>-20897.747916880668</v>
      </c>
      <c r="BG74">
        <f t="shared" ca="1" si="30"/>
        <v>-7850.24271296191</v>
      </c>
      <c r="BH74">
        <f t="shared" ca="1" si="30"/>
        <v>6613.0282215621601</v>
      </c>
      <c r="BI74" s="16">
        <f t="shared" ca="1" si="31"/>
        <v>6613.0282215621701</v>
      </c>
      <c r="BJ74">
        <f ca="1">Performance!AM86</f>
        <v>3.9616836533432079E-2</v>
      </c>
    </row>
    <row r="75" spans="27:63" x14ac:dyDescent="0.3">
      <c r="AA75">
        <f t="shared" ref="AA75:AL75" si="36">AA45</f>
        <v>5</v>
      </c>
      <c r="AB75">
        <f t="shared" ca="1" si="36"/>
        <v>5383.0313328373895</v>
      </c>
      <c r="AC75">
        <f t="shared" ca="1" si="36"/>
        <v>11456.879915433148</v>
      </c>
      <c r="AD75">
        <f t="shared" si="36"/>
        <v>0</v>
      </c>
      <c r="AE75">
        <f t="shared" ca="1" si="36"/>
        <v>2.1283323850530591</v>
      </c>
      <c r="AF75">
        <f t="shared" ca="1" si="36"/>
        <v>2.230665887666764E-3</v>
      </c>
      <c r="AG75">
        <f t="shared" ca="1" si="36"/>
        <v>21.173016553068887</v>
      </c>
      <c r="AH75">
        <f t="shared" ca="1" si="36"/>
        <v>-0.47769030117857564</v>
      </c>
      <c r="AI75">
        <f t="shared" ca="1" si="36"/>
        <v>-0.4980237729892002</v>
      </c>
      <c r="AJ75">
        <f t="shared" ca="1" si="36"/>
        <v>3.005396219614596</v>
      </c>
      <c r="AK75">
        <f t="shared" ca="1" si="36"/>
        <v>-10.114144654094444</v>
      </c>
      <c r="AL75">
        <f t="shared" ca="1" si="36"/>
        <v>12.023076678750797</v>
      </c>
      <c r="AO75">
        <f t="shared" ca="1" si="33"/>
        <v>31456.644731506531</v>
      </c>
      <c r="AP75">
        <f t="shared" ca="1" si="30"/>
        <v>49498.693220827416</v>
      </c>
      <c r="AQ75">
        <f t="shared" ca="1" si="30"/>
        <v>63816.943970917549</v>
      </c>
      <c r="AR75">
        <f t="shared" ca="1" si="30"/>
        <v>73009.826837239059</v>
      </c>
      <c r="AS75">
        <f t="shared" ca="1" si="30"/>
        <v>76177.478394255188</v>
      </c>
      <c r="AT75">
        <f t="shared" ca="1" si="30"/>
        <v>73009.826837239059</v>
      </c>
      <c r="AU75">
        <f t="shared" ca="1" si="30"/>
        <v>63816.943970917549</v>
      </c>
      <c r="AV75">
        <f t="shared" ca="1" si="30"/>
        <v>49498.693220827423</v>
      </c>
      <c r="AW75">
        <f t="shared" ca="1" si="30"/>
        <v>31456.644731506534</v>
      </c>
      <c r="AX75">
        <f t="shared" ca="1" si="30"/>
        <v>11456.879915433155</v>
      </c>
      <c r="AY75">
        <f t="shared" ca="1" si="30"/>
        <v>-8542.8849006402525</v>
      </c>
      <c r="AZ75">
        <f t="shared" ca="1" si="30"/>
        <v>-26584.933389961108</v>
      </c>
      <c r="BA75">
        <f t="shared" ca="1" si="30"/>
        <v>-40903.184140051249</v>
      </c>
      <c r="BB75">
        <f t="shared" ca="1" si="30"/>
        <v>-50096.067006372745</v>
      </c>
      <c r="BC75">
        <f t="shared" ca="1" si="30"/>
        <v>-53263.718563388888</v>
      </c>
      <c r="BD75">
        <f t="shared" ca="1" si="30"/>
        <v>-50096.067006372767</v>
      </c>
      <c r="BE75">
        <f t="shared" ca="1" si="30"/>
        <v>-40903.184140051257</v>
      </c>
      <c r="BF75">
        <f t="shared" ca="1" si="30"/>
        <v>-26584.933389961134</v>
      </c>
      <c r="BG75">
        <f t="shared" ca="1" si="30"/>
        <v>-8542.8849006402452</v>
      </c>
      <c r="BH75">
        <f t="shared" ca="1" si="30"/>
        <v>11456.879915433132</v>
      </c>
      <c r="BI75" s="16">
        <f t="shared" ca="1" si="31"/>
        <v>11456.879915433146</v>
      </c>
      <c r="BJ75">
        <f ca="1">Performance!AM87</f>
        <v>5.0284450285304247E-2</v>
      </c>
    </row>
    <row r="76" spans="27:63" x14ac:dyDescent="0.3">
      <c r="AA76">
        <f t="shared" ref="AA76:AK76" si="37">AA46</f>
        <v>6</v>
      </c>
      <c r="AB76">
        <f t="shared" ca="1" si="37"/>
        <v>7751.5651192858404</v>
      </c>
      <c r="AC76">
        <f t="shared" ca="1" si="37"/>
        <v>18171.402821310439</v>
      </c>
      <c r="AD76">
        <f t="shared" si="37"/>
        <v>0</v>
      </c>
      <c r="AE76">
        <f t="shared" ca="1" si="37"/>
        <v>2.3442237202007261</v>
      </c>
      <c r="AF76">
        <f t="shared" ca="1" si="37"/>
        <v>1.7235247081888916E-3</v>
      </c>
      <c r="AG76">
        <f t="shared" ca="1" si="37"/>
        <v>24.087473125293133</v>
      </c>
      <c r="AH76">
        <f t="shared" ca="1" si="37"/>
        <v>-0.32690737108878692</v>
      </c>
      <c r="AI76">
        <f t="shared" ca="1" si="37"/>
        <v>-0.3330292871127068</v>
      </c>
      <c r="AJ76">
        <f t="shared" ca="1" si="37"/>
        <v>3.6064754635375151</v>
      </c>
      <c r="AK76">
        <f t="shared" ca="1" si="37"/>
        <v>-7.8743725155613848</v>
      </c>
      <c r="AL76">
        <f ca="1">AL46</f>
        <v>10.521337363749007</v>
      </c>
      <c r="AO76">
        <f t="shared" ca="1" si="33"/>
        <v>43373.849829264538</v>
      </c>
      <c r="AP76">
        <f t="shared" ca="1" si="30"/>
        <v>66109.305728306514</v>
      </c>
      <c r="AQ76">
        <f t="shared" ca="1" si="30"/>
        <v>84152.265687802355</v>
      </c>
      <c r="AR76">
        <f t="shared" ca="1" si="30"/>
        <v>95736.559074222489</v>
      </c>
      <c r="AS76">
        <f t="shared" ca="1" si="30"/>
        <v>99728.234538386067</v>
      </c>
      <c r="AT76">
        <f t="shared" ca="1" si="30"/>
        <v>95736.559074222489</v>
      </c>
      <c r="AU76">
        <f ca="1">MIN($AB46*($AE46+SIN(AU$40/20*2*PI())*$AL46),$X$9*$X$12)</f>
        <v>84152.265687802355</v>
      </c>
      <c r="AV76">
        <f t="shared" ca="1" si="30"/>
        <v>66109.305728306528</v>
      </c>
      <c r="AW76">
        <f t="shared" ca="1" si="30"/>
        <v>43373.849829264538</v>
      </c>
      <c r="AX76">
        <f t="shared" ca="1" si="30"/>
        <v>18171.402821310447</v>
      </c>
      <c r="AY76">
        <f t="shared" ca="1" si="30"/>
        <v>-7031.044186643685</v>
      </c>
      <c r="AZ76">
        <f t="shared" ca="1" si="30"/>
        <v>-29766.500085685635</v>
      </c>
      <c r="BA76">
        <f t="shared" ca="1" si="30"/>
        <v>-47809.460045181469</v>
      </c>
      <c r="BB76">
        <f t="shared" ca="1" si="30"/>
        <v>-59393.753431601603</v>
      </c>
      <c r="BC76">
        <f t="shared" ca="1" si="30"/>
        <v>-63385.42889576521</v>
      </c>
      <c r="BD76">
        <f t="shared" ca="1" si="30"/>
        <v>-59393.753431601617</v>
      </c>
      <c r="BE76">
        <f t="shared" ca="1" si="30"/>
        <v>-47809.460045181491</v>
      </c>
      <c r="BF76">
        <f t="shared" ca="1" si="30"/>
        <v>-29766.500085685664</v>
      </c>
      <c r="BG76">
        <f t="shared" ca="1" si="30"/>
        <v>-7031.0441866436749</v>
      </c>
      <c r="BH76">
        <f t="shared" ca="1" si="30"/>
        <v>18171.402821310417</v>
      </c>
      <c r="BI76" s="16">
        <f t="shared" ca="1" si="31"/>
        <v>18171.402821310439</v>
      </c>
      <c r="BJ76">
        <f ca="1">Performance!AM88</f>
        <v>5.8999583642454743E-2</v>
      </c>
    </row>
    <row r="77" spans="27:63" x14ac:dyDescent="0.3">
      <c r="AA77">
        <f t="shared" ref="AA77:AL77" si="38">AA47</f>
        <v>7</v>
      </c>
      <c r="AB77">
        <f t="shared" ca="1" si="38"/>
        <v>10550.741412361283</v>
      </c>
      <c r="AC77">
        <f t="shared" ca="1" si="38"/>
        <v>27195.643322442516</v>
      </c>
      <c r="AD77">
        <f t="shared" si="38"/>
        <v>0</v>
      </c>
      <c r="AE77">
        <f t="shared" ca="1" si="38"/>
        <v>2.5776049530111704</v>
      </c>
      <c r="AF77">
        <f t="shared" ca="1" si="38"/>
        <v>1.3362352517738074E-3</v>
      </c>
      <c r="AG77">
        <f t="shared" ca="1" si="38"/>
        <v>27.356374317996803</v>
      </c>
      <c r="AH77">
        <f t="shared" ca="1" si="38"/>
        <v>-0.21480094571686431</v>
      </c>
      <c r="AI77">
        <f t="shared" ca="1" si="38"/>
        <v>-0.21648801358601477</v>
      </c>
      <c r="AJ77">
        <f t="shared" ca="1" si="38"/>
        <v>4.2075547074604343</v>
      </c>
      <c r="AK77">
        <f t="shared" ca="1" si="38"/>
        <v>-5.8761750748902521</v>
      </c>
      <c r="AL77">
        <f t="shared" ca="1" si="38"/>
        <v>9.2409831676320096</v>
      </c>
      <c r="AO77">
        <f t="shared" ca="1" si="33"/>
        <v>57324.560414288411</v>
      </c>
      <c r="AP77">
        <f t="shared" ca="1" si="30"/>
        <v>84504.249180675455</v>
      </c>
      <c r="AQ77">
        <f t="shared" ca="1" si="30"/>
        <v>106074.17231312272</v>
      </c>
      <c r="AR77">
        <f t="shared" ca="1" si="30"/>
        <v>119922.91544893474</v>
      </c>
      <c r="AS77">
        <f t="shared" ca="1" si="30"/>
        <v>124694.86712011111</v>
      </c>
      <c r="AT77">
        <f t="shared" ca="1" si="30"/>
        <v>119922.91544893474</v>
      </c>
      <c r="AU77">
        <f t="shared" ca="1" si="30"/>
        <v>106074.17231312272</v>
      </c>
      <c r="AV77">
        <f t="shared" ca="1" si="30"/>
        <v>84504.249180675455</v>
      </c>
      <c r="AW77">
        <f t="shared" ca="1" si="30"/>
        <v>57324.560414288419</v>
      </c>
      <c r="AX77">
        <f t="shared" ca="1" si="30"/>
        <v>27195.643322442531</v>
      </c>
      <c r="AY77">
        <f t="shared" ca="1" si="30"/>
        <v>-2933.273769403409</v>
      </c>
      <c r="AZ77">
        <f t="shared" ca="1" si="30"/>
        <v>-30112.962535790408</v>
      </c>
      <c r="BA77">
        <f t="shared" ca="1" si="30"/>
        <v>-51682.885668237672</v>
      </c>
      <c r="BB77">
        <f t="shared" ca="1" si="30"/>
        <v>-65531.628804049709</v>
      </c>
      <c r="BC77">
        <f t="shared" ca="1" si="30"/>
        <v>-70303.580475226074</v>
      </c>
      <c r="BD77">
        <f t="shared" ca="1" si="30"/>
        <v>-65531.628804049709</v>
      </c>
      <c r="BE77">
        <f t="shared" ca="1" si="30"/>
        <v>-51682.885668237694</v>
      </c>
      <c r="BF77">
        <f t="shared" ca="1" si="30"/>
        <v>-30112.962535790448</v>
      </c>
      <c r="BG77">
        <f t="shared" ca="1" si="30"/>
        <v>-2933.2737694033995</v>
      </c>
      <c r="BH77">
        <f t="shared" ca="1" si="30"/>
        <v>27195.643322442491</v>
      </c>
      <c r="BI77" s="16">
        <f t="shared" ca="1" si="31"/>
        <v>27195.64332244252</v>
      </c>
      <c r="BJ77">
        <f ca="1">Performance!AM89</f>
        <v>6.5527782358787673E-2</v>
      </c>
    </row>
    <row r="78" spans="27:63" x14ac:dyDescent="0.3">
      <c r="AA78">
        <f t="shared" ref="AA78:AL78" si="39">AA48</f>
        <v>8</v>
      </c>
      <c r="AB78">
        <f t="shared" ca="1" si="39"/>
        <v>13780.560212063718</v>
      </c>
      <c r="AC78">
        <f t="shared" ca="1" si="39"/>
        <v>38966.269164701334</v>
      </c>
      <c r="AD78">
        <f t="shared" si="39"/>
        <v>0</v>
      </c>
      <c r="AE78">
        <f t="shared" ca="1" si="39"/>
        <v>2.8276259139733413</v>
      </c>
      <c r="AF78">
        <f t="shared" ca="1" si="39"/>
        <v>1.0524731733925264E-3</v>
      </c>
      <c r="AG78">
        <f t="shared" ca="1" si="39"/>
        <v>30.82438941049783</v>
      </c>
      <c r="AH78">
        <f t="shared" ca="1" si="39"/>
        <v>-0.13406222032082263</v>
      </c>
      <c r="AI78">
        <f t="shared" ca="1" si="39"/>
        <v>-0.13446707953376993</v>
      </c>
      <c r="AJ78">
        <f t="shared" ca="1" si="39"/>
        <v>4.8086339513833538</v>
      </c>
      <c r="AK78">
        <f t="shared" ca="1" si="39"/>
        <v>-4.1323860844049918</v>
      </c>
      <c r="AL78">
        <f t="shared" ca="1" si="39"/>
        <v>8.1937752632756133</v>
      </c>
      <c r="AO78">
        <f t="shared" ca="1" si="33"/>
        <v>73858.865415700566</v>
      </c>
      <c r="AP78">
        <f t="shared" ca="1" si="30"/>
        <v>105335.93123463867</v>
      </c>
      <c r="AQ78">
        <f t="shared" ca="1" si="30"/>
        <v>130316.2721055445</v>
      </c>
      <c r="AR78">
        <f t="shared" ca="1" si="30"/>
        <v>146354.63821570462</v>
      </c>
      <c r="AS78">
        <f t="shared" ca="1" si="30"/>
        <v>151881.08254438915</v>
      </c>
      <c r="AT78">
        <f t="shared" ca="1" si="30"/>
        <v>146354.63821570465</v>
      </c>
      <c r="AU78">
        <f t="shared" ca="1" si="30"/>
        <v>130316.2721055445</v>
      </c>
      <c r="AV78">
        <f t="shared" ca="1" si="30"/>
        <v>105335.93123463867</v>
      </c>
      <c r="AW78">
        <f t="shared" ca="1" si="30"/>
        <v>73858.865415700566</v>
      </c>
      <c r="AX78">
        <f t="shared" ca="1" si="30"/>
        <v>38966.269164701342</v>
      </c>
      <c r="AY78">
        <f t="shared" ca="1" si="30"/>
        <v>4073.6729137020657</v>
      </c>
      <c r="AZ78">
        <f t="shared" ca="1" si="30"/>
        <v>-27403.392905235993</v>
      </c>
      <c r="BA78">
        <f t="shared" ca="1" si="30"/>
        <v>-52383.733776141802</v>
      </c>
      <c r="BB78">
        <f t="shared" ca="1" si="30"/>
        <v>-68422.099886301978</v>
      </c>
      <c r="BC78">
        <f t="shared" ca="1" si="30"/>
        <v>-73948.544214986512</v>
      </c>
      <c r="BD78">
        <f t="shared" ca="1" si="30"/>
        <v>-68422.099886301978</v>
      </c>
      <c r="BE78">
        <f t="shared" ca="1" si="30"/>
        <v>-52383.733776141838</v>
      </c>
      <c r="BF78">
        <f t="shared" ca="1" si="30"/>
        <v>-27403.392905236029</v>
      </c>
      <c r="BG78">
        <f t="shared" ca="1" si="30"/>
        <v>4073.6729137020779</v>
      </c>
      <c r="BH78">
        <f t="shared" ca="1" si="30"/>
        <v>38966.269164701298</v>
      </c>
      <c r="BI78" s="16">
        <f t="shared" ca="1" si="31"/>
        <v>38966.269164701327</v>
      </c>
      <c r="BJ78">
        <f ca="1">Performance!AM90</f>
        <v>6.9768211198319746E-2</v>
      </c>
    </row>
    <row r="79" spans="27:63" x14ac:dyDescent="0.3">
      <c r="AA79">
        <f t="shared" ref="AA79:AL79" si="40">AA49</f>
        <v>9</v>
      </c>
      <c r="AB79">
        <f t="shared" ca="1" si="40"/>
        <v>17441.021518393143</v>
      </c>
      <c r="AC79">
        <f t="shared" ca="1" si="40"/>
        <v>53906.309565447416</v>
      </c>
      <c r="AD79">
        <f t="shared" si="40"/>
        <v>0</v>
      </c>
      <c r="AE79">
        <f t="shared" ca="1" si="40"/>
        <v>3.0907770802643819</v>
      </c>
      <c r="AF79">
        <f t="shared" ca="1" si="40"/>
        <v>8.4480124055709199E-4</v>
      </c>
      <c r="AG79">
        <f t="shared" ca="1" si="40"/>
        <v>34.405092398914618</v>
      </c>
      <c r="AH79">
        <f t="shared" ca="1" si="40"/>
        <v>-7.5657049642632673E-2</v>
      </c>
      <c r="AI79">
        <f t="shared" ca="1" si="40"/>
        <v>-7.5729412879581987E-2</v>
      </c>
      <c r="AJ79">
        <f t="shared" ca="1" si="40"/>
        <v>5.4097131953062734</v>
      </c>
      <c r="AK79">
        <f t="shared" ca="1" si="40"/>
        <v>-2.6029877835840471</v>
      </c>
      <c r="AL79">
        <f t="shared" ca="1" si="40"/>
        <v>7.3430403701211429</v>
      </c>
      <c r="AO79">
        <f t="shared" ca="1" si="33"/>
        <v>93482.154694838158</v>
      </c>
      <c r="AP79">
        <f t="shared" ca="1" si="30"/>
        <v>129184.04036183718</v>
      </c>
      <c r="AQ79">
        <f t="shared" ca="1" si="30"/>
        <v>157517.21724769435</v>
      </c>
      <c r="AR79">
        <f t="shared" ca="1" si="30"/>
        <v>175708.23658997074</v>
      </c>
      <c r="AS79">
        <f t="shared" ca="1" si="30"/>
        <v>181976.43467115983</v>
      </c>
      <c r="AT79">
        <f t="shared" ca="1" si="30"/>
        <v>175708.23658997077</v>
      </c>
      <c r="AU79">
        <f t="shared" ca="1" si="30"/>
        <v>157517.21724769435</v>
      </c>
      <c r="AV79">
        <f t="shared" ca="1" si="30"/>
        <v>129184.04036183719</v>
      </c>
      <c r="AW79">
        <f t="shared" ca="1" si="30"/>
        <v>93482.154694838158</v>
      </c>
      <c r="AX79">
        <f t="shared" ca="1" si="30"/>
        <v>53906.309565447431</v>
      </c>
      <c r="AY79">
        <f t="shared" ca="1" si="30"/>
        <v>14330.464436056638</v>
      </c>
      <c r="AZ79">
        <f t="shared" ca="1" si="30"/>
        <v>-21371.421230942331</v>
      </c>
      <c r="BA79">
        <f t="shared" ca="1" si="30"/>
        <v>-49704.59811679952</v>
      </c>
      <c r="BB79">
        <f t="shared" ca="1" si="30"/>
        <v>-67895.617459075904</v>
      </c>
      <c r="BC79">
        <f t="shared" ca="1" si="30"/>
        <v>-74163.815540264986</v>
      </c>
      <c r="BD79">
        <f t="shared" ca="1" si="30"/>
        <v>-67895.617459075918</v>
      </c>
      <c r="BE79">
        <f t="shared" ca="1" si="30"/>
        <v>-49704.598116799549</v>
      </c>
      <c r="BF79">
        <f t="shared" ca="1" si="30"/>
        <v>-21371.421230942378</v>
      </c>
      <c r="BG79">
        <f t="shared" ca="1" si="30"/>
        <v>14330.464436056645</v>
      </c>
      <c r="BH79">
        <f t="shared" ca="1" si="30"/>
        <v>53906.309565447387</v>
      </c>
      <c r="BI79" s="16">
        <f t="shared" ca="1" si="31"/>
        <v>53906.309565447409</v>
      </c>
      <c r="BJ79">
        <f ca="1">Performance!AM91</f>
        <v>7.175049699459278E-2</v>
      </c>
    </row>
    <row r="80" spans="27:63" x14ac:dyDescent="0.3">
      <c r="AA80">
        <f t="shared" ref="AA80:AL80" si="41">AA50</f>
        <v>10</v>
      </c>
      <c r="AB80">
        <f t="shared" ca="1" si="41"/>
        <v>21532.125331349558</v>
      </c>
      <c r="AC80">
        <f t="shared" ca="1" si="41"/>
        <v>72428.313169853151</v>
      </c>
      <c r="AD80">
        <f t="shared" si="41"/>
        <v>0</v>
      </c>
      <c r="AE80">
        <f t="shared" ca="1" si="41"/>
        <v>3.3637326578441198</v>
      </c>
      <c r="AF80">
        <f t="shared" ca="1" si="41"/>
        <v>6.9064100328730693E-4</v>
      </c>
      <c r="AG80">
        <f t="shared" ca="1" si="41"/>
        <v>38.051678664726197</v>
      </c>
      <c r="AH80">
        <f t="shared" ca="1" si="41"/>
        <v>-3.265634996885295E-2</v>
      </c>
      <c r="AI80">
        <f t="shared" ca="1" si="41"/>
        <v>-3.2662157080466041E-2</v>
      </c>
      <c r="AJ80">
        <f t="shared" ca="1" si="41"/>
        <v>6.010792439229192</v>
      </c>
      <c r="AK80">
        <f t="shared" ca="1" si="41"/>
        <v>-1.2426289353776339</v>
      </c>
      <c r="AL80">
        <f t="shared" ca="1" si="41"/>
        <v>6.647217475799752</v>
      </c>
      <c r="AO80">
        <f t="shared" ca="1" si="33"/>
        <v>116657.51996922317</v>
      </c>
      <c r="AP80">
        <f t="shared" ca="1" si="30"/>
        <v>156557.26384406671</v>
      </c>
      <c r="AQ80">
        <f t="shared" ca="1" si="30"/>
        <v>188221.87986605184</v>
      </c>
      <c r="AR80">
        <f t="shared" ca="1" si="30"/>
        <v>208551.81479859404</v>
      </c>
      <c r="AS80">
        <f t="shared" ca="1" si="30"/>
        <v>215557.03296351046</v>
      </c>
      <c r="AT80">
        <f t="shared" ca="1" si="30"/>
        <v>208551.81479859404</v>
      </c>
      <c r="AU80">
        <f t="shared" ca="1" si="30"/>
        <v>188221.87986605184</v>
      </c>
      <c r="AV80">
        <f t="shared" ca="1" si="30"/>
        <v>156557.26384406671</v>
      </c>
      <c r="AW80">
        <f t="shared" ca="1" si="30"/>
        <v>116657.51996922318</v>
      </c>
      <c r="AX80">
        <f t="shared" ca="1" si="30"/>
        <v>72428.313169853165</v>
      </c>
      <c r="AY80">
        <f t="shared" ca="1" si="30"/>
        <v>28199.106370483078</v>
      </c>
      <c r="AZ80">
        <f t="shared" ca="1" si="30"/>
        <v>-11700.637504360389</v>
      </c>
      <c r="BA80">
        <f t="shared" ca="1" si="30"/>
        <v>-43365.253526345528</v>
      </c>
      <c r="BB80">
        <f t="shared" ca="1" si="30"/>
        <v>-63695.188458887751</v>
      </c>
      <c r="BC80">
        <f t="shared" ca="1" si="30"/>
        <v>-70700.406623804156</v>
      </c>
      <c r="BD80">
        <f t="shared" ca="1" si="30"/>
        <v>-63695.188458887773</v>
      </c>
      <c r="BE80">
        <f t="shared" ca="1" si="30"/>
        <v>-43365.25352634555</v>
      </c>
      <c r="BF80">
        <f t="shared" ca="1" si="30"/>
        <v>-11700.637504360438</v>
      </c>
      <c r="BG80">
        <f t="shared" ca="1" si="30"/>
        <v>28199.106370483096</v>
      </c>
      <c r="BH80">
        <f t="shared" ca="1" si="30"/>
        <v>72428.313169853107</v>
      </c>
      <c r="BI80" s="16">
        <f t="shared" ca="1" si="31"/>
        <v>72428.313169853122</v>
      </c>
      <c r="BJ80">
        <f ca="1">Performance!AM92</f>
        <v>7.1621409740331723E-2</v>
      </c>
    </row>
    <row r="81" spans="27:62" x14ac:dyDescent="0.3">
      <c r="AA81">
        <f t="shared" ref="AA81:AL81" si="42">AA51</f>
        <v>11</v>
      </c>
      <c r="AB81">
        <f t="shared" ca="1" si="42"/>
        <v>26053.871650932961</v>
      </c>
      <c r="AC81">
        <f t="shared" ca="1" si="42"/>
        <v>94938.605541061261</v>
      </c>
      <c r="AD81">
        <f t="shared" si="42"/>
        <v>0</v>
      </c>
      <c r="AE81">
        <f t="shared" ca="1" si="42"/>
        <v>3.6439346448404573</v>
      </c>
      <c r="AF81">
        <f t="shared" ca="1" si="42"/>
        <v>5.7402422776519019E-4</v>
      </c>
      <c r="AG81">
        <f t="shared" ca="1" si="42"/>
        <v>41.738312706859283</v>
      </c>
      <c r="AH81">
        <f t="shared" ca="1" si="42"/>
        <v>-3.2290187849030996E-4</v>
      </c>
      <c r="AI81">
        <f t="shared" ca="1" si="42"/>
        <v>-3.2290188410157114E-4</v>
      </c>
      <c r="AJ81">
        <f t="shared" ca="1" si="42"/>
        <v>6.6118716831521107</v>
      </c>
      <c r="AK81">
        <f t="shared" ca="1" si="42"/>
        <v>-1.3477379578060836E-2</v>
      </c>
      <c r="AL81">
        <f t="shared" ca="1" si="42"/>
        <v>6.0716362387592175</v>
      </c>
      <c r="AO81">
        <f t="shared" ca="1" si="33"/>
        <v>143821.88993918584</v>
      </c>
      <c r="AP81">
        <f t="shared" ca="1" si="30"/>
        <v>187920.13787055245</v>
      </c>
      <c r="AQ81">
        <f t="shared" ca="1" si="30"/>
        <v>222916.70557707886</v>
      </c>
      <c r="AR81">
        <f t="shared" ca="1" si="30"/>
        <v>245385.88517622516</v>
      </c>
      <c r="AS81">
        <f t="shared" ca="1" si="30"/>
        <v>253128.23681684726</v>
      </c>
      <c r="AT81">
        <f t="shared" ca="1" si="30"/>
        <v>245385.88517622516</v>
      </c>
      <c r="AU81">
        <f t="shared" ca="1" si="30"/>
        <v>222916.70557707886</v>
      </c>
      <c r="AV81">
        <f t="shared" ca="1" si="30"/>
        <v>187920.13787055245</v>
      </c>
      <c r="AW81">
        <f t="shared" ca="1" si="30"/>
        <v>143821.88993918584</v>
      </c>
      <c r="AX81">
        <f t="shared" ca="1" si="30"/>
        <v>94938.605541061275</v>
      </c>
      <c r="AY81">
        <f t="shared" ca="1" si="30"/>
        <v>46055.321142936635</v>
      </c>
      <c r="AZ81">
        <f t="shared" ca="1" si="30"/>
        <v>1957.0732115701016</v>
      </c>
      <c r="BA81">
        <f t="shared" ca="1" si="30"/>
        <v>-33039.494494956307</v>
      </c>
      <c r="BB81">
        <f t="shared" ca="1" si="30"/>
        <v>-55508.674094102644</v>
      </c>
      <c r="BC81">
        <f t="shared" ca="1" si="30"/>
        <v>-63251.025734724753</v>
      </c>
      <c r="BD81">
        <f t="shared" ca="1" si="30"/>
        <v>-55508.674094102666</v>
      </c>
      <c r="BE81">
        <f t="shared" ca="1" si="30"/>
        <v>-33039.494494956336</v>
      </c>
      <c r="BF81">
        <f t="shared" ca="1" si="30"/>
        <v>1957.0732115700437</v>
      </c>
      <c r="BG81">
        <f t="shared" ca="1" si="30"/>
        <v>46055.321142936649</v>
      </c>
      <c r="BH81">
        <f t="shared" ca="1" si="30"/>
        <v>94938.605541061217</v>
      </c>
      <c r="BI81" s="16">
        <f t="shared" ca="1" si="31"/>
        <v>94938.605541061275</v>
      </c>
      <c r="BJ81">
        <f ca="1">Performance!AM93</f>
        <v>6.962349734526263E-2</v>
      </c>
    </row>
    <row r="82" spans="27:62" x14ac:dyDescent="0.3">
      <c r="AA82">
        <f t="shared" ref="AA82:AL82" si="43">AA52</f>
        <v>12</v>
      </c>
      <c r="AB82">
        <f t="shared" ca="1" si="43"/>
        <v>31006.260477143362</v>
      </c>
      <c r="AC82">
        <f t="shared" ca="1" si="43"/>
        <v>121840.10463099585</v>
      </c>
      <c r="AD82">
        <f t="shared" si="43"/>
        <v>0</v>
      </c>
      <c r="AE82">
        <f t="shared" ca="1" si="43"/>
        <v>3.9295323833330933</v>
      </c>
      <c r="AF82">
        <f t="shared" ca="1" si="43"/>
        <v>4.8409182033015653E-4</v>
      </c>
      <c r="AG82">
        <f t="shared" ca="1" si="43"/>
        <v>45.450234444604746</v>
      </c>
      <c r="AH82">
        <f t="shared" ca="1" si="43"/>
        <v>2.4499280163638771E-2</v>
      </c>
      <c r="AI82">
        <f t="shared" ca="1" si="43"/>
        <v>2.4501731630628267E-2</v>
      </c>
      <c r="AJ82">
        <f t="shared" ca="1" si="43"/>
        <v>7.2129509270750303</v>
      </c>
      <c r="AK82">
        <f t="shared" ca="1" si="43"/>
        <v>1.1134980271614368</v>
      </c>
      <c r="AL82">
        <f t="shared" ca="1" si="43"/>
        <v>5.5896917902857721</v>
      </c>
      <c r="AO82">
        <f t="shared" ca="1" si="33"/>
        <v>175397.52086625531</v>
      </c>
      <c r="AP82">
        <f t="shared" ca="1" si="30"/>
        <v>223712.36404394655</v>
      </c>
      <c r="AQ82">
        <f t="shared" ca="1" si="30"/>
        <v>262055.24068453055</v>
      </c>
      <c r="AR82">
        <f t="shared" ca="1" si="30"/>
        <v>286672.88287189649</v>
      </c>
      <c r="AS82">
        <f t="shared" ca="1" si="30"/>
        <v>295155.54426754633</v>
      </c>
      <c r="AT82">
        <f t="shared" ca="1" si="30"/>
        <v>286672.88287189649</v>
      </c>
      <c r="AU82">
        <f t="shared" ca="1" si="30"/>
        <v>262055.24068453055</v>
      </c>
      <c r="AV82">
        <f t="shared" ca="1" si="30"/>
        <v>223712.36404394655</v>
      </c>
      <c r="AW82">
        <f t="shared" ca="1" si="30"/>
        <v>175397.52086625531</v>
      </c>
      <c r="AX82">
        <f t="shared" ca="1" si="30"/>
        <v>121840.10463099588</v>
      </c>
      <c r="AY82">
        <f t="shared" ca="1" si="30"/>
        <v>68282.688395736346</v>
      </c>
      <c r="AZ82">
        <f t="shared" ca="1" si="30"/>
        <v>19967.84521804516</v>
      </c>
      <c r="BA82">
        <f t="shared" ca="1" si="30"/>
        <v>-18375.031422538814</v>
      </c>
      <c r="BB82">
        <f t="shared" ca="1" si="30"/>
        <v>-42992.673609904807</v>
      </c>
      <c r="BC82">
        <f t="shared" ca="1" si="30"/>
        <v>-51475.335005554611</v>
      </c>
      <c r="BD82">
        <f t="shared" ca="1" si="30"/>
        <v>-42992.673609904807</v>
      </c>
      <c r="BE82">
        <f t="shared" ca="1" si="30"/>
        <v>-18375.031422538843</v>
      </c>
      <c r="BF82">
        <f t="shared" ca="1" si="30"/>
        <v>19967.845218045106</v>
      </c>
      <c r="BG82">
        <f t="shared" ca="1" si="30"/>
        <v>68282.688395736375</v>
      </c>
      <c r="BH82">
        <f t="shared" ca="1" si="30"/>
        <v>121840.1046309958</v>
      </c>
      <c r="BI82" s="16">
        <f t="shared" ca="1" si="31"/>
        <v>121840.10463099585</v>
      </c>
      <c r="BJ82">
        <f ca="1">Performance!AM94</f>
        <v>6.6068439656780442E-2</v>
      </c>
    </row>
    <row r="83" spans="27:62" x14ac:dyDescent="0.3">
      <c r="AA83">
        <f t="shared" ref="AA83:AL83" si="44">AA53</f>
        <v>13</v>
      </c>
      <c r="AB83">
        <f t="shared" ca="1" si="44"/>
        <v>34020.000000000007</v>
      </c>
      <c r="AC83">
        <f t="shared" ca="1" si="44"/>
        <v>152855.83812602062</v>
      </c>
      <c r="AD83">
        <f t="shared" si="44"/>
        <v>0</v>
      </c>
      <c r="AE83">
        <f t="shared" ca="1" si="44"/>
        <v>4.4931169349212405</v>
      </c>
      <c r="AF83">
        <f t="shared" ca="1" si="44"/>
        <v>4.4186193158882414E-4</v>
      </c>
      <c r="AG83">
        <f t="shared" ca="1" si="44"/>
        <v>47.572580166099975</v>
      </c>
      <c r="AH83">
        <f t="shared" ca="1" si="44"/>
        <v>3.6121613408749927E-2</v>
      </c>
      <c r="AI83">
        <f t="shared" ca="1" si="44"/>
        <v>3.6129473096421914E-2</v>
      </c>
      <c r="AJ83">
        <f t="shared" ca="1" si="44"/>
        <v>7.5553647670139519</v>
      </c>
      <c r="AK83">
        <f t="shared" ca="1" si="44"/>
        <v>1.7183983496166277</v>
      </c>
      <c r="AL83">
        <f t="shared" ca="1" si="44"/>
        <v>5.3491425868641072</v>
      </c>
      <c r="AO83">
        <f t="shared" ca="1" si="33"/>
        <v>209090.08044429059</v>
      </c>
      <c r="AP83">
        <f t="shared" ca="1" si="30"/>
        <v>259819.72331744331</v>
      </c>
      <c r="AQ83">
        <f t="shared" ca="1" si="30"/>
        <v>300078.99584684905</v>
      </c>
      <c r="AR83">
        <f t="shared" ca="1" si="30"/>
        <v>325927.03993448406</v>
      </c>
      <c r="AS83">
        <f t="shared" ca="1" si="30"/>
        <v>334833.6689311376</v>
      </c>
      <c r="AT83">
        <f t="shared" ca="1" si="30"/>
        <v>325927.03993448406</v>
      </c>
      <c r="AU83">
        <f t="shared" ca="1" si="30"/>
        <v>300078.99584684905</v>
      </c>
      <c r="AV83">
        <f t="shared" ca="1" si="30"/>
        <v>259819.72331744331</v>
      </c>
      <c r="AW83">
        <f t="shared" ca="1" si="30"/>
        <v>209090.08044429062</v>
      </c>
      <c r="AX83">
        <f t="shared" ca="1" si="30"/>
        <v>152855.83812602065</v>
      </c>
      <c r="AY83">
        <f t="shared" ca="1" si="30"/>
        <v>96621.595807750622</v>
      </c>
      <c r="AZ83">
        <f t="shared" ca="1" si="30"/>
        <v>45891.95293459799</v>
      </c>
      <c r="BA83">
        <f t="shared" ca="1" si="30"/>
        <v>5632.680405192219</v>
      </c>
      <c r="BB83">
        <f t="shared" ca="1" si="30"/>
        <v>-20215.363682442785</v>
      </c>
      <c r="BC83">
        <f t="shared" ca="1" si="30"/>
        <v>-29121.992679096329</v>
      </c>
      <c r="BD83">
        <f t="shared" ca="1" si="30"/>
        <v>-20215.363682442785</v>
      </c>
      <c r="BE83">
        <f t="shared" ca="1" si="30"/>
        <v>5632.680405192159</v>
      </c>
      <c r="BF83">
        <f t="shared" ca="1" si="30"/>
        <v>45891.952934597932</v>
      </c>
      <c r="BG83">
        <f t="shared" ca="1" si="30"/>
        <v>96621.595807750637</v>
      </c>
      <c r="BH83">
        <f t="shared" ca="1" si="30"/>
        <v>152855.83812602059</v>
      </c>
      <c r="BI83" s="16">
        <f t="shared" ca="1" si="31"/>
        <v>152855.83812602062</v>
      </c>
      <c r="BJ83">
        <f ca="1">Performance!AM95</f>
        <v>6.130814719652828E-2</v>
      </c>
    </row>
    <row r="84" spans="27:62" x14ac:dyDescent="0.3">
      <c r="AA84">
        <f t="shared" ref="AA84:AL84" si="45">AA54</f>
        <v>14</v>
      </c>
      <c r="AB84">
        <f t="shared" ca="1" si="45"/>
        <v>34020.000000000007</v>
      </c>
      <c r="AC84">
        <f t="shared" ca="1" si="45"/>
        <v>184398.63285838271</v>
      </c>
      <c r="AD84">
        <f t="shared" si="45"/>
        <v>0</v>
      </c>
      <c r="AE84">
        <f t="shared" ca="1" si="45"/>
        <v>5.4203007894880271</v>
      </c>
      <c r="AF84">
        <f t="shared" ca="1" si="45"/>
        <v>4.4186193158882414E-4</v>
      </c>
      <c r="AG84">
        <f t="shared" ca="1" si="45"/>
        <v>47.572580166099975</v>
      </c>
      <c r="AH84">
        <f t="shared" ca="1" si="45"/>
        <v>3.6121613408749927E-2</v>
      </c>
      <c r="AI84">
        <f t="shared" ca="1" si="45"/>
        <v>3.6129473096421914E-2</v>
      </c>
      <c r="AJ84">
        <f t="shared" ca="1" si="45"/>
        <v>7.5553647670139519</v>
      </c>
      <c r="AK84">
        <f t="shared" ca="1" si="45"/>
        <v>1.7183983496166277</v>
      </c>
      <c r="AL84">
        <f t="shared" ca="1" si="45"/>
        <v>5.3491425868641072</v>
      </c>
      <c r="AO84">
        <f t="shared" ca="1" si="33"/>
        <v>240632.87517665268</v>
      </c>
      <c r="AP84">
        <f t="shared" ca="1" si="30"/>
        <v>291362.51804980537</v>
      </c>
      <c r="AQ84">
        <f t="shared" ca="1" si="30"/>
        <v>331621.7905792112</v>
      </c>
      <c r="AR84">
        <f t="shared" ca="1" si="30"/>
        <v>357469.83466684615</v>
      </c>
      <c r="AS84">
        <f t="shared" ca="1" si="30"/>
        <v>366376.46366349969</v>
      </c>
      <c r="AT84">
        <f t="shared" ca="1" si="30"/>
        <v>357469.83466684615</v>
      </c>
      <c r="AU84">
        <f t="shared" ca="1" si="30"/>
        <v>331621.7905792112</v>
      </c>
      <c r="AV84">
        <f t="shared" ca="1" si="30"/>
        <v>291362.51804980537</v>
      </c>
      <c r="AW84">
        <f t="shared" ca="1" si="30"/>
        <v>240632.87517665271</v>
      </c>
      <c r="AX84">
        <f t="shared" ca="1" si="30"/>
        <v>184398.63285838274</v>
      </c>
      <c r="AY84">
        <f t="shared" ca="1" si="30"/>
        <v>128164.39054011271</v>
      </c>
      <c r="AZ84">
        <f t="shared" ca="1" si="30"/>
        <v>77434.747666960073</v>
      </c>
      <c r="BA84">
        <f t="shared" ca="1" si="30"/>
        <v>37175.475137554306</v>
      </c>
      <c r="BB84">
        <f t="shared" ca="1" si="30"/>
        <v>11327.4310499193</v>
      </c>
      <c r="BC84">
        <f t="shared" ca="1" si="30"/>
        <v>2420.8020532657561</v>
      </c>
      <c r="BD84">
        <f t="shared" ca="1" si="30"/>
        <v>11327.4310499193</v>
      </c>
      <c r="BE84">
        <f t="shared" ca="1" si="30"/>
        <v>37175.47513755424</v>
      </c>
      <c r="BF84">
        <f t="shared" ca="1" si="30"/>
        <v>77434.747666960015</v>
      </c>
      <c r="BG84">
        <f t="shared" ca="1" si="30"/>
        <v>128164.39054011273</v>
      </c>
      <c r="BH84">
        <f t="shared" ca="1" si="30"/>
        <v>184398.63285838268</v>
      </c>
      <c r="BI84" s="16">
        <f t="shared" ca="1" si="31"/>
        <v>184398.63285838268</v>
      </c>
      <c r="BJ84">
        <f ca="1">Performance!AM96</f>
        <v>5.5706507138845042E-2</v>
      </c>
    </row>
    <row r="85" spans="27:62" x14ac:dyDescent="0.3">
      <c r="AA85">
        <f t="shared" ref="AA85:AL85" si="46">AA55</f>
        <v>15</v>
      </c>
      <c r="AB85">
        <f t="shared" ca="1" si="46"/>
        <v>34020.000000000007</v>
      </c>
      <c r="AC85">
        <f t="shared" ca="1" si="46"/>
        <v>215941.4275907448</v>
      </c>
      <c r="AD85">
        <f t="shared" si="46"/>
        <v>0</v>
      </c>
      <c r="AE85">
        <f t="shared" ca="1" si="46"/>
        <v>6.3474846440548136</v>
      </c>
      <c r="AF85">
        <f t="shared" ca="1" si="46"/>
        <v>4.4186193158882414E-4</v>
      </c>
      <c r="AG85">
        <f t="shared" ca="1" si="46"/>
        <v>47.572580166099975</v>
      </c>
      <c r="AH85">
        <f t="shared" ca="1" si="46"/>
        <v>3.6121613408749927E-2</v>
      </c>
      <c r="AI85">
        <f t="shared" ca="1" si="46"/>
        <v>3.6129473096421914E-2</v>
      </c>
      <c r="AJ85">
        <f t="shared" ca="1" si="46"/>
        <v>7.5553647670139519</v>
      </c>
      <c r="AK85">
        <f t="shared" ca="1" si="46"/>
        <v>1.7183983496166277</v>
      </c>
      <c r="AL85">
        <f t="shared" ca="1" si="46"/>
        <v>5.3491425868641072</v>
      </c>
      <c r="AO85">
        <f t="shared" ca="1" si="33"/>
        <v>272175.66990901477</v>
      </c>
      <c r="AP85">
        <f t="shared" ca="1" si="30"/>
        <v>322905.31278216746</v>
      </c>
      <c r="AQ85">
        <f t="shared" ca="1" si="30"/>
        <v>363164.58531157323</v>
      </c>
      <c r="AR85">
        <f t="shared" ca="1" si="30"/>
        <v>375000</v>
      </c>
      <c r="AS85">
        <f t="shared" ca="1" si="30"/>
        <v>375000</v>
      </c>
      <c r="AT85">
        <f t="shared" ref="AP85:BH95" ca="1" si="47">MIN($AB55*($AE55+SIN(AT$40/20*2*PI())*$AL55),$X$9*$X$12)</f>
        <v>375000</v>
      </c>
      <c r="AU85">
        <f t="shared" ca="1" si="47"/>
        <v>363164.58531157323</v>
      </c>
      <c r="AV85">
        <f t="shared" ca="1" si="47"/>
        <v>322905.31278216746</v>
      </c>
      <c r="AW85">
        <f t="shared" ca="1" si="47"/>
        <v>272175.66990901477</v>
      </c>
      <c r="AX85">
        <f t="shared" ca="1" si="47"/>
        <v>215941.42759074483</v>
      </c>
      <c r="AY85">
        <f t="shared" ca="1" si="47"/>
        <v>159707.1852724748</v>
      </c>
      <c r="AZ85">
        <f t="shared" ca="1" si="47"/>
        <v>108977.54239932216</v>
      </c>
      <c r="BA85">
        <f t="shared" ca="1" si="47"/>
        <v>68718.269869916388</v>
      </c>
      <c r="BB85">
        <f t="shared" ca="1" si="47"/>
        <v>42870.225782281384</v>
      </c>
      <c r="BC85">
        <f t="shared" ca="1" si="47"/>
        <v>33963.596785627844</v>
      </c>
      <c r="BD85">
        <f t="shared" ca="1" si="47"/>
        <v>42870.225782281384</v>
      </c>
      <c r="BE85">
        <f t="shared" ca="1" si="47"/>
        <v>68718.26986991633</v>
      </c>
      <c r="BF85">
        <f t="shared" ca="1" si="47"/>
        <v>108977.5423993221</v>
      </c>
      <c r="BG85">
        <f t="shared" ca="1" si="47"/>
        <v>159707.18527247483</v>
      </c>
      <c r="BH85">
        <f t="shared" ca="1" si="47"/>
        <v>215941.42759074477</v>
      </c>
      <c r="BI85" s="16">
        <f t="shared" ca="1" si="31"/>
        <v>213394.20173103089</v>
      </c>
      <c r="BJ85">
        <f ca="1">Performance!AM97</f>
        <v>4.9614234300794015E-2</v>
      </c>
    </row>
    <row r="86" spans="27:62" x14ac:dyDescent="0.3">
      <c r="AA86">
        <f t="shared" ref="AA86:AL86" si="48">AA56</f>
        <v>16</v>
      </c>
      <c r="AB86">
        <f t="shared" ca="1" si="48"/>
        <v>34020.000000000007</v>
      </c>
      <c r="AC86">
        <f t="shared" ca="1" si="48"/>
        <v>247484.22232310695</v>
      </c>
      <c r="AD86">
        <f t="shared" si="48"/>
        <v>0</v>
      </c>
      <c r="AE86">
        <f t="shared" ca="1" si="48"/>
        <v>6.9803235322690123</v>
      </c>
      <c r="AF86">
        <f t="shared" ca="1" si="48"/>
        <v>4.4186193158882414E-4</v>
      </c>
      <c r="AG86">
        <f t="shared" ca="1" si="48"/>
        <v>47.572580166099975</v>
      </c>
      <c r="AH86">
        <f t="shared" ca="1" si="48"/>
        <v>3.6121613408749927E-2</v>
      </c>
      <c r="AI86">
        <f t="shared" ca="1" si="48"/>
        <v>3.6129473096421914E-2</v>
      </c>
      <c r="AJ86">
        <f t="shared" ca="1" si="48"/>
        <v>7.5553647670139519</v>
      </c>
      <c r="AK86">
        <f t="shared" ca="1" si="48"/>
        <v>1.7183983496166277</v>
      </c>
      <c r="AL86">
        <f t="shared" ca="1" si="48"/>
        <v>5.3491425868641072</v>
      </c>
      <c r="AO86">
        <f t="shared" ca="1" si="33"/>
        <v>293704.84888606181</v>
      </c>
      <c r="AP86">
        <f t="shared" ca="1" si="47"/>
        <v>344434.49175921455</v>
      </c>
      <c r="AQ86">
        <f t="shared" ca="1" si="47"/>
        <v>375000</v>
      </c>
      <c r="AR86">
        <f t="shared" ca="1" si="47"/>
        <v>375000</v>
      </c>
      <c r="AS86">
        <f t="shared" ca="1" si="47"/>
        <v>375000</v>
      </c>
      <c r="AT86">
        <f t="shared" ca="1" si="47"/>
        <v>375000</v>
      </c>
      <c r="AU86">
        <f t="shared" ca="1" si="47"/>
        <v>375000</v>
      </c>
      <c r="AV86">
        <f t="shared" ca="1" si="47"/>
        <v>344434.49175921455</v>
      </c>
      <c r="AW86">
        <f t="shared" ca="1" si="47"/>
        <v>293704.84888606181</v>
      </c>
      <c r="AX86">
        <f t="shared" ca="1" si="47"/>
        <v>237470.60656779187</v>
      </c>
      <c r="AY86">
        <f t="shared" ca="1" si="47"/>
        <v>181236.36424952184</v>
      </c>
      <c r="AZ86">
        <f t="shared" ca="1" si="47"/>
        <v>130506.7213763692</v>
      </c>
      <c r="BA86">
        <f t="shared" ca="1" si="47"/>
        <v>90247.448846963438</v>
      </c>
      <c r="BB86">
        <f t="shared" ca="1" si="47"/>
        <v>64399.404759328427</v>
      </c>
      <c r="BC86">
        <f t="shared" ca="1" si="47"/>
        <v>55492.775762674886</v>
      </c>
      <c r="BD86">
        <f t="shared" ca="1" si="47"/>
        <v>64399.404759328427</v>
      </c>
      <c r="BE86">
        <f t="shared" ca="1" si="47"/>
        <v>90247.448846963365</v>
      </c>
      <c r="BF86">
        <f t="shared" ca="1" si="47"/>
        <v>130506.72137636914</v>
      </c>
      <c r="BG86">
        <f t="shared" ca="1" si="47"/>
        <v>181236.36424952187</v>
      </c>
      <c r="BH86">
        <f t="shared" ca="1" si="47"/>
        <v>237470.60656779181</v>
      </c>
      <c r="BI86" s="16">
        <f t="shared" ca="1" si="31"/>
        <v>230724.6274326588</v>
      </c>
      <c r="BJ86">
        <f ca="1">Performance!AM98</f>
        <v>4.3348617217417951E-2</v>
      </c>
    </row>
    <row r="87" spans="27:62" x14ac:dyDescent="0.3">
      <c r="AA87">
        <f t="shared" ref="AA87:AL87" si="49">AA57</f>
        <v>17</v>
      </c>
      <c r="AB87">
        <f t="shared" ca="1" si="49"/>
        <v>34020.000000000007</v>
      </c>
      <c r="AC87">
        <f t="shared" ca="1" si="49"/>
        <v>279027.01705546904</v>
      </c>
      <c r="AD87">
        <f t="shared" si="49"/>
        <v>0</v>
      </c>
      <c r="AE87">
        <f t="shared" ca="1" si="49"/>
        <v>6.9803235322690123</v>
      </c>
      <c r="AF87">
        <f t="shared" ca="1" si="49"/>
        <v>4.4186193158882414E-4</v>
      </c>
      <c r="AG87">
        <f t="shared" ca="1" si="49"/>
        <v>47.572580166099975</v>
      </c>
      <c r="AH87">
        <f t="shared" ca="1" si="49"/>
        <v>3.6121613408749927E-2</v>
      </c>
      <c r="AI87">
        <f t="shared" ca="1" si="49"/>
        <v>3.6129473096421914E-2</v>
      </c>
      <c r="AJ87">
        <f t="shared" ca="1" si="49"/>
        <v>7.5553647670139519</v>
      </c>
      <c r="AK87">
        <f t="shared" ca="1" si="49"/>
        <v>1.7183983496166277</v>
      </c>
      <c r="AL87">
        <f t="shared" ca="1" si="49"/>
        <v>5.3491425868641072</v>
      </c>
      <c r="AO87">
        <f t="shared" ca="1" si="33"/>
        <v>293704.84888606181</v>
      </c>
      <c r="AP87">
        <f t="shared" ca="1" si="47"/>
        <v>344434.49175921455</v>
      </c>
      <c r="AQ87">
        <f t="shared" ca="1" si="47"/>
        <v>375000</v>
      </c>
      <c r="AR87">
        <f t="shared" ca="1" si="47"/>
        <v>375000</v>
      </c>
      <c r="AS87">
        <f t="shared" ca="1" si="47"/>
        <v>375000</v>
      </c>
      <c r="AT87">
        <f t="shared" ca="1" si="47"/>
        <v>375000</v>
      </c>
      <c r="AU87">
        <f t="shared" ca="1" si="47"/>
        <v>375000</v>
      </c>
      <c r="AV87">
        <f t="shared" ca="1" si="47"/>
        <v>344434.49175921455</v>
      </c>
      <c r="AW87">
        <f t="shared" ca="1" si="47"/>
        <v>293704.84888606181</v>
      </c>
      <c r="AX87">
        <f t="shared" ca="1" si="47"/>
        <v>237470.60656779187</v>
      </c>
      <c r="AY87">
        <f t="shared" ca="1" si="47"/>
        <v>181236.36424952184</v>
      </c>
      <c r="AZ87">
        <f t="shared" ca="1" si="47"/>
        <v>130506.7213763692</v>
      </c>
      <c r="BA87">
        <f t="shared" ca="1" si="47"/>
        <v>90247.448846963438</v>
      </c>
      <c r="BB87">
        <f t="shared" ca="1" si="47"/>
        <v>64399.404759328427</v>
      </c>
      <c r="BC87">
        <f t="shared" ca="1" si="47"/>
        <v>55492.775762674886</v>
      </c>
      <c r="BD87">
        <f t="shared" ca="1" si="47"/>
        <v>64399.404759328427</v>
      </c>
      <c r="BE87">
        <f t="shared" ca="1" si="47"/>
        <v>90247.448846963365</v>
      </c>
      <c r="BF87">
        <f t="shared" ca="1" si="47"/>
        <v>130506.72137636914</v>
      </c>
      <c r="BG87">
        <f t="shared" ca="1" si="47"/>
        <v>181236.36424952187</v>
      </c>
      <c r="BH87">
        <f t="shared" ca="1" si="47"/>
        <v>237470.60656779181</v>
      </c>
      <c r="BI87" s="16">
        <f t="shared" ca="1" si="31"/>
        <v>230724.6274326588</v>
      </c>
      <c r="BJ87">
        <f ca="1">Performance!AM99</f>
        <v>3.7179175485192825E-2</v>
      </c>
    </row>
    <row r="88" spans="27:62" x14ac:dyDescent="0.3">
      <c r="AA88">
        <f t="shared" ref="AA88:AL88" si="50">AA58</f>
        <v>18</v>
      </c>
      <c r="AB88">
        <f t="shared" ca="1" si="50"/>
        <v>34020.000000000007</v>
      </c>
      <c r="AC88">
        <f t="shared" ca="1" si="50"/>
        <v>310569.81178783119</v>
      </c>
      <c r="AD88">
        <f t="shared" si="50"/>
        <v>0</v>
      </c>
      <c r="AE88">
        <f t="shared" ca="1" si="50"/>
        <v>6.9803235322690123</v>
      </c>
      <c r="AF88">
        <f t="shared" ca="1" si="50"/>
        <v>4.4186193158882414E-4</v>
      </c>
      <c r="AG88">
        <f t="shared" ca="1" si="50"/>
        <v>47.572580166099975</v>
      </c>
      <c r="AH88">
        <f t="shared" ca="1" si="50"/>
        <v>3.6121613408749927E-2</v>
      </c>
      <c r="AI88">
        <f t="shared" ca="1" si="50"/>
        <v>3.6129473096421914E-2</v>
      </c>
      <c r="AJ88">
        <f t="shared" ca="1" si="50"/>
        <v>7.5553647670139519</v>
      </c>
      <c r="AK88">
        <f t="shared" ca="1" si="50"/>
        <v>1.7183983496166277</v>
      </c>
      <c r="AL88">
        <f t="shared" ca="1" si="50"/>
        <v>5.3491425868641072</v>
      </c>
      <c r="AO88">
        <f t="shared" ca="1" si="33"/>
        <v>293704.84888606181</v>
      </c>
      <c r="AP88">
        <f t="shared" ca="1" si="47"/>
        <v>344434.49175921455</v>
      </c>
      <c r="AQ88">
        <f t="shared" ca="1" si="47"/>
        <v>375000</v>
      </c>
      <c r="AR88">
        <f t="shared" ca="1" si="47"/>
        <v>375000</v>
      </c>
      <c r="AS88">
        <f t="shared" ca="1" si="47"/>
        <v>375000</v>
      </c>
      <c r="AT88">
        <f t="shared" ca="1" si="47"/>
        <v>375000</v>
      </c>
      <c r="AU88">
        <f t="shared" ca="1" si="47"/>
        <v>375000</v>
      </c>
      <c r="AV88">
        <f t="shared" ca="1" si="47"/>
        <v>344434.49175921455</v>
      </c>
      <c r="AW88">
        <f t="shared" ca="1" si="47"/>
        <v>293704.84888606181</v>
      </c>
      <c r="AX88">
        <f t="shared" ca="1" si="47"/>
        <v>237470.60656779187</v>
      </c>
      <c r="AY88">
        <f t="shared" ca="1" si="47"/>
        <v>181236.36424952184</v>
      </c>
      <c r="AZ88">
        <f t="shared" ca="1" si="47"/>
        <v>130506.7213763692</v>
      </c>
      <c r="BA88">
        <f t="shared" ca="1" si="47"/>
        <v>90247.448846963438</v>
      </c>
      <c r="BB88">
        <f t="shared" ca="1" si="47"/>
        <v>64399.404759328427</v>
      </c>
      <c r="BC88">
        <f t="shared" ca="1" si="47"/>
        <v>55492.775762674886</v>
      </c>
      <c r="BD88">
        <f t="shared" ca="1" si="47"/>
        <v>64399.404759328427</v>
      </c>
      <c r="BE88">
        <f t="shared" ca="1" si="47"/>
        <v>90247.448846963365</v>
      </c>
      <c r="BF88">
        <f t="shared" ca="1" si="47"/>
        <v>130506.72137636914</v>
      </c>
      <c r="BG88">
        <f t="shared" ca="1" si="47"/>
        <v>181236.36424952187</v>
      </c>
      <c r="BH88">
        <f t="shared" ca="1" si="47"/>
        <v>237470.60656779181</v>
      </c>
      <c r="BI88" s="16">
        <f t="shared" ca="1" si="31"/>
        <v>230724.6274326588</v>
      </c>
      <c r="BJ88">
        <f ca="1">Performance!AM100</f>
        <v>3.1319478768229887E-2</v>
      </c>
    </row>
    <row r="89" spans="27:62" x14ac:dyDescent="0.3">
      <c r="AA89">
        <f t="shared" ref="AA89:AL89" si="51">AA59</f>
        <v>19</v>
      </c>
      <c r="AB89">
        <f t="shared" ca="1" si="51"/>
        <v>34020.000000000007</v>
      </c>
      <c r="AC89">
        <f t="shared" ca="1" si="51"/>
        <v>342112.60652019322</v>
      </c>
      <c r="AD89">
        <f t="shared" si="51"/>
        <v>0</v>
      </c>
      <c r="AE89">
        <f t="shared" ca="1" si="51"/>
        <v>6.9803235322690123</v>
      </c>
      <c r="AF89">
        <f t="shared" ca="1" si="51"/>
        <v>4.4186193158882414E-4</v>
      </c>
      <c r="AG89">
        <f t="shared" ca="1" si="51"/>
        <v>47.572580166099975</v>
      </c>
      <c r="AH89">
        <f t="shared" ca="1" si="51"/>
        <v>3.6121613408749927E-2</v>
      </c>
      <c r="AI89">
        <f t="shared" ca="1" si="51"/>
        <v>3.6129473096421914E-2</v>
      </c>
      <c r="AJ89">
        <f t="shared" ca="1" si="51"/>
        <v>7.5553647670139519</v>
      </c>
      <c r="AK89">
        <f t="shared" ca="1" si="51"/>
        <v>1.7183983496166277</v>
      </c>
      <c r="AL89">
        <f t="shared" ca="1" si="51"/>
        <v>5.3491425868641072</v>
      </c>
      <c r="AO89">
        <f t="shared" ca="1" si="33"/>
        <v>293704.84888606181</v>
      </c>
      <c r="AP89">
        <f t="shared" ca="1" si="47"/>
        <v>344434.49175921455</v>
      </c>
      <c r="AQ89">
        <f t="shared" ca="1" si="47"/>
        <v>375000</v>
      </c>
      <c r="AR89">
        <f t="shared" ca="1" si="47"/>
        <v>375000</v>
      </c>
      <c r="AS89">
        <f t="shared" ca="1" si="47"/>
        <v>375000</v>
      </c>
      <c r="AT89">
        <f t="shared" ca="1" si="47"/>
        <v>375000</v>
      </c>
      <c r="AU89">
        <f t="shared" ca="1" si="47"/>
        <v>375000</v>
      </c>
      <c r="AV89">
        <f t="shared" ca="1" si="47"/>
        <v>344434.49175921455</v>
      </c>
      <c r="AW89">
        <f t="shared" ca="1" si="47"/>
        <v>293704.84888606181</v>
      </c>
      <c r="AX89">
        <f t="shared" ca="1" si="47"/>
        <v>237470.60656779187</v>
      </c>
      <c r="AY89">
        <f t="shared" ca="1" si="47"/>
        <v>181236.36424952184</v>
      </c>
      <c r="AZ89">
        <f t="shared" ca="1" si="47"/>
        <v>130506.7213763692</v>
      </c>
      <c r="BA89">
        <f t="shared" ca="1" si="47"/>
        <v>90247.448846963438</v>
      </c>
      <c r="BB89">
        <f t="shared" ca="1" si="47"/>
        <v>64399.404759328427</v>
      </c>
      <c r="BC89">
        <f t="shared" ca="1" si="47"/>
        <v>55492.775762674886</v>
      </c>
      <c r="BD89">
        <f t="shared" ca="1" si="47"/>
        <v>64399.404759328427</v>
      </c>
      <c r="BE89">
        <f t="shared" ca="1" si="47"/>
        <v>90247.448846963365</v>
      </c>
      <c r="BF89">
        <f t="shared" ca="1" si="47"/>
        <v>130506.72137636914</v>
      </c>
      <c r="BG89">
        <f t="shared" ca="1" si="47"/>
        <v>181236.36424952187</v>
      </c>
      <c r="BH89">
        <f t="shared" ca="1" si="47"/>
        <v>237470.60656779181</v>
      </c>
      <c r="BI89" s="16">
        <f t="shared" ca="1" si="31"/>
        <v>230724.6274326588</v>
      </c>
      <c r="BJ89">
        <f ca="1">Performance!AM101</f>
        <v>2.5924715115403743E-2</v>
      </c>
    </row>
    <row r="90" spans="27:62" x14ac:dyDescent="0.3">
      <c r="AA90">
        <f t="shared" ref="AA90:AL90" si="52">AA60</f>
        <v>20</v>
      </c>
      <c r="AB90">
        <f t="shared" ca="1" si="52"/>
        <v>34020.000000000007</v>
      </c>
      <c r="AC90">
        <f t="shared" ca="1" si="52"/>
        <v>373655.40125255537</v>
      </c>
      <c r="AD90">
        <f t="shared" si="52"/>
        <v>0</v>
      </c>
      <c r="AE90">
        <f t="shared" ca="1" si="52"/>
        <v>6.9803235322690123</v>
      </c>
      <c r="AF90">
        <f t="shared" ca="1" si="52"/>
        <v>4.4186193158882414E-4</v>
      </c>
      <c r="AG90">
        <f t="shared" ca="1" si="52"/>
        <v>47.572580166099975</v>
      </c>
      <c r="AH90">
        <f t="shared" ca="1" si="52"/>
        <v>3.6121613408749927E-2</v>
      </c>
      <c r="AI90">
        <f t="shared" ca="1" si="52"/>
        <v>3.6129473096421914E-2</v>
      </c>
      <c r="AJ90">
        <f t="shared" ca="1" si="52"/>
        <v>7.5553647670139519</v>
      </c>
      <c r="AK90">
        <f t="shared" ca="1" si="52"/>
        <v>1.7183983496166277</v>
      </c>
      <c r="AL90">
        <f t="shared" ca="1" si="52"/>
        <v>5.3491425868641072</v>
      </c>
      <c r="AO90">
        <f t="shared" ca="1" si="33"/>
        <v>293704.84888606181</v>
      </c>
      <c r="AP90">
        <f t="shared" ca="1" si="47"/>
        <v>344434.49175921455</v>
      </c>
      <c r="AQ90">
        <f t="shared" ca="1" si="47"/>
        <v>375000</v>
      </c>
      <c r="AR90">
        <f t="shared" ca="1" si="47"/>
        <v>375000</v>
      </c>
      <c r="AS90">
        <f t="shared" ca="1" si="47"/>
        <v>375000</v>
      </c>
      <c r="AT90">
        <f t="shared" ca="1" si="47"/>
        <v>375000</v>
      </c>
      <c r="AU90">
        <f t="shared" ca="1" si="47"/>
        <v>375000</v>
      </c>
      <c r="AV90">
        <f t="shared" ca="1" si="47"/>
        <v>344434.49175921455</v>
      </c>
      <c r="AW90">
        <f t="shared" ca="1" si="47"/>
        <v>293704.84888606181</v>
      </c>
      <c r="AX90">
        <f t="shared" ca="1" si="47"/>
        <v>237470.60656779187</v>
      </c>
      <c r="AY90">
        <f t="shared" ca="1" si="47"/>
        <v>181236.36424952184</v>
      </c>
      <c r="AZ90">
        <f t="shared" ca="1" si="47"/>
        <v>130506.7213763692</v>
      </c>
      <c r="BA90">
        <f t="shared" ca="1" si="47"/>
        <v>90247.448846963438</v>
      </c>
      <c r="BB90">
        <f t="shared" ca="1" si="47"/>
        <v>64399.404759328427</v>
      </c>
      <c r="BC90">
        <f t="shared" ca="1" si="47"/>
        <v>55492.775762674886</v>
      </c>
      <c r="BD90">
        <f t="shared" ca="1" si="47"/>
        <v>64399.404759328427</v>
      </c>
      <c r="BE90">
        <f t="shared" ca="1" si="47"/>
        <v>90247.448846963365</v>
      </c>
      <c r="BF90">
        <f t="shared" ca="1" si="47"/>
        <v>130506.72137636914</v>
      </c>
      <c r="BG90">
        <f t="shared" ca="1" si="47"/>
        <v>181236.36424952187</v>
      </c>
      <c r="BH90">
        <f t="shared" ca="1" si="47"/>
        <v>237470.60656779181</v>
      </c>
      <c r="BI90" s="16">
        <f t="shared" ca="1" si="31"/>
        <v>230724.6274326588</v>
      </c>
      <c r="BJ90">
        <f ca="1">Performance!AM102</f>
        <v>2.1094101051758164E-2</v>
      </c>
    </row>
    <row r="91" spans="27:62" x14ac:dyDescent="0.3">
      <c r="AA91">
        <f t="shared" ref="AA91:AL91" si="53">AA61</f>
        <v>21</v>
      </c>
      <c r="AB91">
        <f t="shared" ca="1" si="53"/>
        <v>34020.000000000007</v>
      </c>
      <c r="AC91">
        <f t="shared" ca="1" si="53"/>
        <v>405198.19598491752</v>
      </c>
      <c r="AD91">
        <f t="shared" si="53"/>
        <v>0</v>
      </c>
      <c r="AE91">
        <f t="shared" ca="1" si="53"/>
        <v>6.9803235322690123</v>
      </c>
      <c r="AF91">
        <f t="shared" ca="1" si="53"/>
        <v>4.4186193158882414E-4</v>
      </c>
      <c r="AG91">
        <f t="shared" ca="1" si="53"/>
        <v>47.572580166099975</v>
      </c>
      <c r="AH91">
        <f t="shared" ca="1" si="53"/>
        <v>3.6121613408749927E-2</v>
      </c>
      <c r="AI91">
        <f t="shared" ca="1" si="53"/>
        <v>3.6129473096421914E-2</v>
      </c>
      <c r="AJ91">
        <f t="shared" ca="1" si="53"/>
        <v>7.5553647670139519</v>
      </c>
      <c r="AK91">
        <f t="shared" ca="1" si="53"/>
        <v>1.7183983496166277</v>
      </c>
      <c r="AL91">
        <f t="shared" ca="1" si="53"/>
        <v>5.3491425868641072</v>
      </c>
      <c r="AO91">
        <f t="shared" ca="1" si="33"/>
        <v>293704.84888606181</v>
      </c>
      <c r="AP91">
        <f t="shared" ca="1" si="47"/>
        <v>344434.49175921455</v>
      </c>
      <c r="AQ91">
        <f t="shared" ca="1" si="47"/>
        <v>375000</v>
      </c>
      <c r="AR91">
        <f t="shared" ca="1" si="47"/>
        <v>375000</v>
      </c>
      <c r="AS91">
        <f t="shared" ca="1" si="47"/>
        <v>375000</v>
      </c>
      <c r="AT91">
        <f t="shared" ca="1" si="47"/>
        <v>375000</v>
      </c>
      <c r="AU91">
        <f t="shared" ca="1" si="47"/>
        <v>375000</v>
      </c>
      <c r="AV91">
        <f t="shared" ca="1" si="47"/>
        <v>344434.49175921455</v>
      </c>
      <c r="AW91">
        <f t="shared" ca="1" si="47"/>
        <v>293704.84888606181</v>
      </c>
      <c r="AX91">
        <f t="shared" ca="1" si="47"/>
        <v>237470.60656779187</v>
      </c>
      <c r="AY91">
        <f t="shared" ca="1" si="47"/>
        <v>181236.36424952184</v>
      </c>
      <c r="AZ91">
        <f t="shared" ca="1" si="47"/>
        <v>130506.7213763692</v>
      </c>
      <c r="BA91">
        <f t="shared" ca="1" si="47"/>
        <v>90247.448846963438</v>
      </c>
      <c r="BB91">
        <f t="shared" ca="1" si="47"/>
        <v>64399.404759328427</v>
      </c>
      <c r="BC91">
        <f t="shared" ca="1" si="47"/>
        <v>55492.775762674886</v>
      </c>
      <c r="BD91">
        <f t="shared" ca="1" si="47"/>
        <v>64399.404759328427</v>
      </c>
      <c r="BE91">
        <f t="shared" ca="1" si="47"/>
        <v>90247.448846963365</v>
      </c>
      <c r="BF91">
        <f t="shared" ca="1" si="47"/>
        <v>130506.72137636914</v>
      </c>
      <c r="BG91">
        <f t="shared" ca="1" si="47"/>
        <v>181236.36424952187</v>
      </c>
      <c r="BH91">
        <f t="shared" ca="1" si="47"/>
        <v>237470.60656779181</v>
      </c>
      <c r="BI91" s="16">
        <f t="shared" ca="1" si="31"/>
        <v>230724.6274326588</v>
      </c>
      <c r="BJ91">
        <f ca="1">Performance!AM103</f>
        <v>1.687692813234935E-2</v>
      </c>
    </row>
    <row r="92" spans="27:62" x14ac:dyDescent="0.3">
      <c r="AA92">
        <f t="shared" ref="AA92:AL92" si="54">AA62</f>
        <v>22</v>
      </c>
      <c r="AB92">
        <f t="shared" ca="1" si="54"/>
        <v>34020.000000000007</v>
      </c>
      <c r="AC92">
        <f t="shared" ca="1" si="54"/>
        <v>436740.99071727955</v>
      </c>
      <c r="AD92">
        <f t="shared" si="54"/>
        <v>0</v>
      </c>
      <c r="AE92">
        <f t="shared" ca="1" si="54"/>
        <v>6.9803235322690123</v>
      </c>
      <c r="AF92">
        <f t="shared" ca="1" si="54"/>
        <v>4.4186193158882414E-4</v>
      </c>
      <c r="AG92">
        <f t="shared" ca="1" si="54"/>
        <v>47.572580166099975</v>
      </c>
      <c r="AH92">
        <f t="shared" ca="1" si="54"/>
        <v>3.6121613408749927E-2</v>
      </c>
      <c r="AI92">
        <f t="shared" ca="1" si="54"/>
        <v>3.6129473096421914E-2</v>
      </c>
      <c r="AJ92">
        <f t="shared" ca="1" si="54"/>
        <v>7.5553647670139519</v>
      </c>
      <c r="AK92">
        <f t="shared" ca="1" si="54"/>
        <v>1.7183983496166277</v>
      </c>
      <c r="AL92">
        <f t="shared" ca="1" si="54"/>
        <v>5.3491425868641072</v>
      </c>
      <c r="AO92">
        <f t="shared" ca="1" si="33"/>
        <v>293704.84888606181</v>
      </c>
      <c r="AP92">
        <f t="shared" ca="1" si="47"/>
        <v>344434.49175921455</v>
      </c>
      <c r="AQ92">
        <f t="shared" ca="1" si="47"/>
        <v>375000</v>
      </c>
      <c r="AR92">
        <f t="shared" ca="1" si="47"/>
        <v>375000</v>
      </c>
      <c r="AS92">
        <f t="shared" ca="1" si="47"/>
        <v>375000</v>
      </c>
      <c r="AT92">
        <f t="shared" ca="1" si="47"/>
        <v>375000</v>
      </c>
      <c r="AU92">
        <f t="shared" ca="1" si="47"/>
        <v>375000</v>
      </c>
      <c r="AV92">
        <f t="shared" ca="1" si="47"/>
        <v>344434.49175921455</v>
      </c>
      <c r="AW92">
        <f t="shared" ca="1" si="47"/>
        <v>293704.84888606181</v>
      </c>
      <c r="AX92">
        <f t="shared" ca="1" si="47"/>
        <v>237470.60656779187</v>
      </c>
      <c r="AY92">
        <f t="shared" ca="1" si="47"/>
        <v>181236.36424952184</v>
      </c>
      <c r="AZ92">
        <f t="shared" ca="1" si="47"/>
        <v>130506.7213763692</v>
      </c>
      <c r="BA92">
        <f t="shared" ca="1" si="47"/>
        <v>90247.448846963438</v>
      </c>
      <c r="BB92">
        <f t="shared" ca="1" si="47"/>
        <v>64399.404759328427</v>
      </c>
      <c r="BC92">
        <f t="shared" ca="1" si="47"/>
        <v>55492.775762674886</v>
      </c>
      <c r="BD92">
        <f t="shared" ca="1" si="47"/>
        <v>64399.404759328427</v>
      </c>
      <c r="BE92">
        <f t="shared" ca="1" si="47"/>
        <v>90247.448846963365</v>
      </c>
      <c r="BF92">
        <f t="shared" ca="1" si="47"/>
        <v>130506.72137636914</v>
      </c>
      <c r="BG92">
        <f t="shared" ca="1" si="47"/>
        <v>181236.36424952187</v>
      </c>
      <c r="BH92">
        <f t="shared" ca="1" si="47"/>
        <v>237470.60656779181</v>
      </c>
      <c r="BI92" s="16">
        <f t="shared" ca="1" si="31"/>
        <v>230724.6274326588</v>
      </c>
      <c r="BJ92">
        <f ca="1">Performance!AM104</f>
        <v>1.3280937554451462E-2</v>
      </c>
    </row>
    <row r="93" spans="27:62" x14ac:dyDescent="0.3">
      <c r="AA93">
        <f t="shared" ref="AA93:AL93" si="55">AA63</f>
        <v>23</v>
      </c>
      <c r="AB93">
        <f t="shared" ca="1" si="55"/>
        <v>34020.000000000007</v>
      </c>
      <c r="AC93">
        <f t="shared" ca="1" si="55"/>
        <v>468283.7854496417</v>
      </c>
      <c r="AD93">
        <f t="shared" si="55"/>
        <v>0</v>
      </c>
      <c r="AE93">
        <f t="shared" ca="1" si="55"/>
        <v>6.9803235322690123</v>
      </c>
      <c r="AF93">
        <f t="shared" ca="1" si="55"/>
        <v>4.4186193158882414E-4</v>
      </c>
      <c r="AG93">
        <f t="shared" ca="1" si="55"/>
        <v>47.572580166099975</v>
      </c>
      <c r="AH93">
        <f t="shared" ca="1" si="55"/>
        <v>3.6121613408749927E-2</v>
      </c>
      <c r="AI93">
        <f t="shared" ca="1" si="55"/>
        <v>3.6129473096421914E-2</v>
      </c>
      <c r="AJ93">
        <f t="shared" ca="1" si="55"/>
        <v>7.5553647670139519</v>
      </c>
      <c r="AK93">
        <f t="shared" ca="1" si="55"/>
        <v>1.7183983496166277</v>
      </c>
      <c r="AL93">
        <f t="shared" ca="1" si="55"/>
        <v>5.3491425868641072</v>
      </c>
      <c r="AO93">
        <f t="shared" ca="1" si="33"/>
        <v>293704.84888606181</v>
      </c>
      <c r="AP93">
        <f t="shared" ca="1" si="47"/>
        <v>344434.49175921455</v>
      </c>
      <c r="AQ93">
        <f t="shared" ca="1" si="47"/>
        <v>375000</v>
      </c>
      <c r="AR93">
        <f t="shared" ca="1" si="47"/>
        <v>375000</v>
      </c>
      <c r="AS93">
        <f t="shared" ca="1" si="47"/>
        <v>375000</v>
      </c>
      <c r="AT93">
        <f t="shared" ca="1" si="47"/>
        <v>375000</v>
      </c>
      <c r="AU93">
        <f t="shared" ca="1" si="47"/>
        <v>375000</v>
      </c>
      <c r="AV93">
        <f t="shared" ca="1" si="47"/>
        <v>344434.49175921455</v>
      </c>
      <c r="AW93">
        <f t="shared" ca="1" si="47"/>
        <v>293704.84888606181</v>
      </c>
      <c r="AX93">
        <f t="shared" ca="1" si="47"/>
        <v>237470.60656779187</v>
      </c>
      <c r="AY93">
        <f t="shared" ca="1" si="47"/>
        <v>181236.36424952184</v>
      </c>
      <c r="AZ93">
        <f t="shared" ca="1" si="47"/>
        <v>130506.7213763692</v>
      </c>
      <c r="BA93">
        <f t="shared" ca="1" si="47"/>
        <v>90247.448846963438</v>
      </c>
      <c r="BB93">
        <f t="shared" ca="1" si="47"/>
        <v>64399.404759328427</v>
      </c>
      <c r="BC93">
        <f t="shared" ca="1" si="47"/>
        <v>55492.775762674886</v>
      </c>
      <c r="BD93">
        <f t="shared" ca="1" si="47"/>
        <v>64399.404759328427</v>
      </c>
      <c r="BE93">
        <f t="shared" ca="1" si="47"/>
        <v>90247.448846963365</v>
      </c>
      <c r="BF93">
        <f t="shared" ca="1" si="47"/>
        <v>130506.72137636914</v>
      </c>
      <c r="BG93">
        <f t="shared" ca="1" si="47"/>
        <v>181236.36424952187</v>
      </c>
      <c r="BH93">
        <f t="shared" ca="1" si="47"/>
        <v>237470.60656779181</v>
      </c>
      <c r="BI93" s="16">
        <f t="shared" ca="1" si="31"/>
        <v>230724.6274326588</v>
      </c>
      <c r="BJ93">
        <f ca="1">Performance!AM105</f>
        <v>1.0281777605499176E-2</v>
      </c>
    </row>
    <row r="94" spans="27:62" x14ac:dyDescent="0.3">
      <c r="AA94">
        <f t="shared" ref="AA94:AL94" si="56">AA64</f>
        <v>24</v>
      </c>
      <c r="AB94">
        <f t="shared" ca="1" si="56"/>
        <v>34020.000000000007</v>
      </c>
      <c r="AC94">
        <f t="shared" ca="1" si="56"/>
        <v>499826.58018200385</v>
      </c>
      <c r="AD94">
        <f t="shared" si="56"/>
        <v>0</v>
      </c>
      <c r="AE94">
        <f t="shared" ca="1" si="56"/>
        <v>6.9803235322690123</v>
      </c>
      <c r="AF94">
        <f t="shared" ca="1" si="56"/>
        <v>4.4186193158882414E-4</v>
      </c>
      <c r="AG94">
        <f t="shared" ca="1" si="56"/>
        <v>47.572580166099975</v>
      </c>
      <c r="AH94">
        <f t="shared" ca="1" si="56"/>
        <v>3.6121613408749927E-2</v>
      </c>
      <c r="AI94">
        <f t="shared" ca="1" si="56"/>
        <v>3.6129473096421914E-2</v>
      </c>
      <c r="AJ94">
        <f t="shared" ca="1" si="56"/>
        <v>7.5553647670139519</v>
      </c>
      <c r="AK94">
        <f t="shared" ca="1" si="56"/>
        <v>1.7183983496166277</v>
      </c>
      <c r="AL94">
        <f t="shared" ca="1" si="56"/>
        <v>5.3491425868641072</v>
      </c>
      <c r="AO94">
        <f t="shared" ca="1" si="33"/>
        <v>293704.84888606181</v>
      </c>
      <c r="AP94">
        <f t="shared" ca="1" si="47"/>
        <v>344434.49175921455</v>
      </c>
      <c r="AQ94">
        <f t="shared" ca="1" si="47"/>
        <v>375000</v>
      </c>
      <c r="AR94">
        <f t="shared" ca="1" si="47"/>
        <v>375000</v>
      </c>
      <c r="AS94">
        <f t="shared" ca="1" si="47"/>
        <v>375000</v>
      </c>
      <c r="AT94">
        <f t="shared" ca="1" si="47"/>
        <v>375000</v>
      </c>
      <c r="AU94">
        <f t="shared" ca="1" si="47"/>
        <v>375000</v>
      </c>
      <c r="AV94">
        <f t="shared" ca="1" si="47"/>
        <v>344434.49175921455</v>
      </c>
      <c r="AW94">
        <f t="shared" ca="1" si="47"/>
        <v>293704.84888606181</v>
      </c>
      <c r="AX94">
        <f t="shared" ca="1" si="47"/>
        <v>237470.60656779187</v>
      </c>
      <c r="AY94">
        <f t="shared" ca="1" si="47"/>
        <v>181236.36424952184</v>
      </c>
      <c r="AZ94">
        <f t="shared" ca="1" si="47"/>
        <v>130506.7213763692</v>
      </c>
      <c r="BA94">
        <f t="shared" ca="1" si="47"/>
        <v>90247.448846963438</v>
      </c>
      <c r="BB94">
        <f t="shared" ca="1" si="47"/>
        <v>64399.404759328427</v>
      </c>
      <c r="BC94">
        <f t="shared" ca="1" si="47"/>
        <v>55492.775762674886</v>
      </c>
      <c r="BD94">
        <f t="shared" ca="1" si="47"/>
        <v>64399.404759328427</v>
      </c>
      <c r="BE94">
        <f t="shared" ca="1" si="47"/>
        <v>90247.448846963365</v>
      </c>
      <c r="BF94">
        <f t="shared" ca="1" si="47"/>
        <v>130506.72137636914</v>
      </c>
      <c r="BG94">
        <f t="shared" ca="1" si="47"/>
        <v>181236.36424952187</v>
      </c>
      <c r="BH94">
        <f t="shared" ca="1" si="47"/>
        <v>237470.60656779181</v>
      </c>
      <c r="BI94" s="16">
        <f t="shared" ca="1" si="31"/>
        <v>230724.6274326588</v>
      </c>
      <c r="BJ94">
        <f ca="1">Performance!AM106</f>
        <v>7.8324836429980952E-3</v>
      </c>
    </row>
    <row r="95" spans="27:62" x14ac:dyDescent="0.3">
      <c r="AA95">
        <f t="shared" ref="AA95:AL95" si="57">AA65</f>
        <v>25</v>
      </c>
      <c r="AB95">
        <f t="shared" ca="1" si="57"/>
        <v>34020.000000000007</v>
      </c>
      <c r="AC95">
        <f t="shared" ca="1" si="57"/>
        <v>531369.37491436594</v>
      </c>
      <c r="AD95">
        <f t="shared" si="57"/>
        <v>0</v>
      </c>
      <c r="AE95">
        <f t="shared" ca="1" si="57"/>
        <v>6.9803235322690123</v>
      </c>
      <c r="AF95">
        <f t="shared" ca="1" si="57"/>
        <v>4.4186193158882414E-4</v>
      </c>
      <c r="AG95">
        <f t="shared" ca="1" si="57"/>
        <v>47.572580166099975</v>
      </c>
      <c r="AH95">
        <f t="shared" ca="1" si="57"/>
        <v>3.6121613408749927E-2</v>
      </c>
      <c r="AI95">
        <f t="shared" ca="1" si="57"/>
        <v>3.6129473096421914E-2</v>
      </c>
      <c r="AJ95">
        <f t="shared" ca="1" si="57"/>
        <v>7.5553647670139519</v>
      </c>
      <c r="AK95">
        <f t="shared" ca="1" si="57"/>
        <v>1.7183983496166277</v>
      </c>
      <c r="AL95">
        <f t="shared" ca="1" si="57"/>
        <v>5.3491425868641072</v>
      </c>
      <c r="AO95">
        <f t="shared" ca="1" si="33"/>
        <v>293704.84888606181</v>
      </c>
      <c r="AP95">
        <f t="shared" ca="1" si="47"/>
        <v>344434.49175921455</v>
      </c>
      <c r="AQ95">
        <f t="shared" ca="1" si="47"/>
        <v>375000</v>
      </c>
      <c r="AR95">
        <f t="shared" ca="1" si="47"/>
        <v>375000</v>
      </c>
      <c r="AS95">
        <f t="shared" ca="1" si="47"/>
        <v>375000</v>
      </c>
      <c r="AT95">
        <f t="shared" ca="1" si="47"/>
        <v>375000</v>
      </c>
      <c r="AU95">
        <f t="shared" ca="1" si="47"/>
        <v>375000</v>
      </c>
      <c r="AV95">
        <f t="shared" ca="1" si="47"/>
        <v>344434.49175921455</v>
      </c>
      <c r="AW95">
        <f t="shared" ca="1" si="47"/>
        <v>293704.84888606181</v>
      </c>
      <c r="AX95">
        <f t="shared" ca="1" si="47"/>
        <v>237470.60656779187</v>
      </c>
      <c r="AY95">
        <f t="shared" ca="1" si="47"/>
        <v>181236.36424952184</v>
      </c>
      <c r="AZ95">
        <f t="shared" ca="1" si="47"/>
        <v>130506.7213763692</v>
      </c>
      <c r="BA95">
        <f t="shared" ca="1" si="47"/>
        <v>90247.448846963438</v>
      </c>
      <c r="BB95">
        <f t="shared" ca="1" si="47"/>
        <v>64399.404759328427</v>
      </c>
      <c r="BC95">
        <f t="shared" ca="1" si="47"/>
        <v>55492.775762674886</v>
      </c>
      <c r="BD95">
        <f t="shared" ca="1" si="47"/>
        <v>64399.404759328427</v>
      </c>
      <c r="BE95">
        <f t="shared" ca="1" si="47"/>
        <v>90247.448846963365</v>
      </c>
      <c r="BF95">
        <f t="shared" ca="1" si="47"/>
        <v>130506.72137636914</v>
      </c>
      <c r="BG95">
        <f t="shared" ca="1" si="47"/>
        <v>181236.36424952187</v>
      </c>
      <c r="BH95">
        <f t="shared" ca="1" si="47"/>
        <v>237470.60656779181</v>
      </c>
      <c r="BI95" s="16">
        <f t="shared" ca="1" si="31"/>
        <v>230724.6274326588</v>
      </c>
      <c r="BJ95">
        <f ca="1">Performance!AM107</f>
        <v>5.8721763323969882E-3</v>
      </c>
    </row>
    <row r="96" spans="27:62" x14ac:dyDescent="0.3">
      <c r="BI96" s="90">
        <f ca="1">SUMPRODUCT(BI77:BI95,BJ77:BJ95,Performance!W90:W108)/SUM(BJ77:BJ95)</f>
        <v>107115.13758544959</v>
      </c>
    </row>
    <row r="97" spans="40:62" x14ac:dyDescent="0.3">
      <c r="BH97" s="1947"/>
      <c r="BI97" s="1947" t="s">
        <v>1718</v>
      </c>
      <c r="BJ97" s="1947"/>
    </row>
    <row r="99" spans="40:62" x14ac:dyDescent="0.3">
      <c r="AO99" s="89">
        <f>AO70</f>
        <v>1</v>
      </c>
      <c r="AP99" s="89">
        <f t="shared" ref="AP99:BH99" si="58">AP70</f>
        <v>2</v>
      </c>
      <c r="AQ99" s="89">
        <f t="shared" si="58"/>
        <v>3</v>
      </c>
      <c r="AR99" s="89">
        <f t="shared" si="58"/>
        <v>4</v>
      </c>
      <c r="AS99" s="89">
        <f t="shared" si="58"/>
        <v>5</v>
      </c>
      <c r="AT99" s="89">
        <f t="shared" si="58"/>
        <v>6</v>
      </c>
      <c r="AU99" s="89">
        <f t="shared" si="58"/>
        <v>7</v>
      </c>
      <c r="AV99" s="89">
        <f t="shared" si="58"/>
        <v>8</v>
      </c>
      <c r="AW99" s="89">
        <f t="shared" si="58"/>
        <v>9</v>
      </c>
      <c r="AX99" s="89">
        <f t="shared" si="58"/>
        <v>10</v>
      </c>
      <c r="AY99" s="89">
        <f t="shared" si="58"/>
        <v>11</v>
      </c>
      <c r="AZ99" s="89">
        <f t="shared" si="58"/>
        <v>12</v>
      </c>
      <c r="BA99" s="89">
        <f t="shared" si="58"/>
        <v>13</v>
      </c>
      <c r="BB99" s="89">
        <f t="shared" si="58"/>
        <v>14</v>
      </c>
      <c r="BC99" s="89">
        <f t="shared" si="58"/>
        <v>15</v>
      </c>
      <c r="BD99" s="89">
        <f t="shared" si="58"/>
        <v>16</v>
      </c>
      <c r="BE99" s="89">
        <f t="shared" si="58"/>
        <v>17</v>
      </c>
      <c r="BF99" s="89">
        <f t="shared" si="58"/>
        <v>18</v>
      </c>
      <c r="BG99" s="89">
        <f t="shared" si="58"/>
        <v>19</v>
      </c>
      <c r="BH99" s="89">
        <f t="shared" si="58"/>
        <v>20</v>
      </c>
    </row>
    <row r="100" spans="40:62" x14ac:dyDescent="0.3">
      <c r="AN100">
        <f>AA71</f>
        <v>1</v>
      </c>
      <c r="AO100">
        <f ca="1">(($AI$5*(ABS($AE41+SIN(AO$40/20*2*PI())*$AL41)/$X$15)^3+$AI$6*(ABS($AE41+SIN(AO$40/20*2*PI())*$AL41)/$X$15)^2+$AI$7*(ABS($AE41+SIN(AO$40/20*2*PI())*$AL41)/$X$15)+$AI$8))^SIGN($AE41+SIN(AO$40/20*2*PI())*$AL41)</f>
        <v>0.84487032184799704</v>
      </c>
      <c r="AP100">
        <f t="shared" ref="AP100:BH114" ca="1" si="59">(($AI$5*(ABS($AE41+SIN(AP$40/20*2*PI())*$AL41)/$X$15)^3+$AI$6*(ABS($AE41+SIN(AP$40/20*2*PI())*$AL41)/$X$15)^2+$AI$7*(ABS($AE41+SIN(AP$40/20*2*PI())*$AL41)/$X$15)+$AI$8))^SIGN($AE41+SIN(AP$40/20*2*PI())*$AL41)</f>
        <v>0.90694621430546696</v>
      </c>
      <c r="AQ100">
        <f t="shared" ca="1" si="59"/>
        <v>0.93216526949943501</v>
      </c>
      <c r="AR100">
        <f t="shared" ca="1" si="59"/>
        <v>0.94013393024011216</v>
      </c>
      <c r="AS100">
        <f t="shared" ca="1" si="59"/>
        <v>0.94173823944449753</v>
      </c>
      <c r="AT100">
        <f t="shared" ca="1" si="59"/>
        <v>0.94013393024011216</v>
      </c>
      <c r="AU100">
        <f t="shared" ca="1" si="59"/>
        <v>0.93216526949943501</v>
      </c>
      <c r="AV100">
        <f t="shared" ca="1" si="59"/>
        <v>0.90694621430546707</v>
      </c>
      <c r="AW100">
        <f t="shared" ca="1" si="59"/>
        <v>0.84487032184799715</v>
      </c>
      <c r="AX100">
        <f t="shared" ca="1" si="59"/>
        <v>0.72330000000000017</v>
      </c>
      <c r="AY100">
        <f t="shared" ca="1" si="59"/>
        <v>1.183613596241238</v>
      </c>
      <c r="AZ100">
        <f t="shared" ca="1" si="59"/>
        <v>1.1026012173894932</v>
      </c>
      <c r="BA100">
        <f t="shared" ca="1" si="59"/>
        <v>1.0727711412558758</v>
      </c>
      <c r="BB100">
        <f t="shared" ca="1" si="59"/>
        <v>1.063678235445239</v>
      </c>
      <c r="BC100">
        <f t="shared" ca="1" si="59"/>
        <v>1.0618661939329015</v>
      </c>
      <c r="BD100">
        <f t="shared" ca="1" si="59"/>
        <v>1.063678235445239</v>
      </c>
      <c r="BE100">
        <f t="shared" ca="1" si="59"/>
        <v>1.0727711412558758</v>
      </c>
      <c r="BF100">
        <f t="shared" ca="1" si="59"/>
        <v>1.102601217389493</v>
      </c>
      <c r="BG100">
        <f t="shared" ca="1" si="59"/>
        <v>1.183613596241238</v>
      </c>
      <c r="BH100">
        <f t="shared" ca="1" si="59"/>
        <v>1.382552191345223</v>
      </c>
    </row>
    <row r="101" spans="40:62" x14ac:dyDescent="0.3">
      <c r="AN101">
        <f t="shared" ref="AN101:AN124" si="60">AA72</f>
        <v>2</v>
      </c>
      <c r="AO101">
        <f t="shared" ref="AO101:BD124" ca="1" si="61">(($AI$5*(ABS($AE42+SIN(AO$40/20*2*PI())*$AL42)/$X$15)^3+$AI$6*(ABS($AE42+SIN(AO$40/20*2*PI())*$AL42)/$X$15)^2+$AI$7*(ABS($AE42+SIN(AO$40/20*2*PI())*$AL42)/$X$15)+$AI$8))^SIGN($AE42+SIN(AO$40/20*2*PI())*$AL42)</f>
        <v>0.84509648509669855</v>
      </c>
      <c r="AP101">
        <f t="shared" ca="1" si="61"/>
        <v>0.90717349948052439</v>
      </c>
      <c r="AQ101">
        <f t="shared" ca="1" si="61"/>
        <v>0.93231666378063716</v>
      </c>
      <c r="AR101">
        <f t="shared" ca="1" si="61"/>
        <v>0.94022306700006286</v>
      </c>
      <c r="AS101">
        <f t="shared" ca="1" si="61"/>
        <v>0.94180606399743949</v>
      </c>
      <c r="AT101">
        <f t="shared" ca="1" si="61"/>
        <v>0.94022306700006286</v>
      </c>
      <c r="AU101">
        <f t="shared" ca="1" si="61"/>
        <v>0.93231666378063716</v>
      </c>
      <c r="AV101">
        <f t="shared" ca="1" si="61"/>
        <v>0.90717349948052439</v>
      </c>
      <c r="AW101">
        <f t="shared" ca="1" si="61"/>
        <v>0.84509648509669866</v>
      </c>
      <c r="AX101">
        <f t="shared" ca="1" si="61"/>
        <v>0.72330000000000017</v>
      </c>
      <c r="AY101">
        <f t="shared" ca="1" si="61"/>
        <v>1.1832968396331418</v>
      </c>
      <c r="AZ101">
        <f t="shared" ca="1" si="61"/>
        <v>1.1023249693389754</v>
      </c>
      <c r="BA101">
        <f t="shared" ca="1" si="61"/>
        <v>1.0725969392683599</v>
      </c>
      <c r="BB101">
        <f t="shared" ca="1" si="61"/>
        <v>1.0635773946608917</v>
      </c>
      <c r="BC101">
        <f t="shared" ca="1" si="61"/>
        <v>1.0617897232000819</v>
      </c>
      <c r="BD101">
        <f t="shared" ca="1" si="61"/>
        <v>1.0635773946608917</v>
      </c>
      <c r="BE101">
        <f t="shared" ca="1" si="59"/>
        <v>1.0725969392683599</v>
      </c>
      <c r="BF101">
        <f t="shared" ca="1" si="59"/>
        <v>1.1023249693389752</v>
      </c>
      <c r="BG101">
        <f t="shared" ca="1" si="59"/>
        <v>1.1832968396331418</v>
      </c>
      <c r="BH101">
        <f t="shared" ca="1" si="59"/>
        <v>1.382552191345223</v>
      </c>
    </row>
    <row r="102" spans="40:62" x14ac:dyDescent="0.3">
      <c r="AN102">
        <f t="shared" si="60"/>
        <v>3</v>
      </c>
      <c r="AO102">
        <f t="shared" ca="1" si="61"/>
        <v>0.87125406472058753</v>
      </c>
      <c r="AP102">
        <f t="shared" ca="1" si="59"/>
        <v>0.91918439968309607</v>
      </c>
      <c r="AQ102">
        <f t="shared" ca="1" si="59"/>
        <v>0.93733776674038793</v>
      </c>
      <c r="AR102">
        <f t="shared" ca="1" si="59"/>
        <v>0.94240318346251506</v>
      </c>
      <c r="AS102">
        <f t="shared" ca="1" si="59"/>
        <v>0.94326720813500176</v>
      </c>
      <c r="AT102">
        <f t="shared" ca="1" si="59"/>
        <v>0.94240318346251506</v>
      </c>
      <c r="AU102">
        <f t="shared" ca="1" si="59"/>
        <v>0.93733776674038793</v>
      </c>
      <c r="AV102">
        <f t="shared" ca="1" si="59"/>
        <v>0.91918439968309607</v>
      </c>
      <c r="AW102">
        <f t="shared" ca="1" si="59"/>
        <v>0.87125406472058764</v>
      </c>
      <c r="AX102">
        <f t="shared" ca="1" si="59"/>
        <v>0.77355926581842449</v>
      </c>
      <c r="AY102">
        <f t="shared" ca="1" si="59"/>
        <v>1.2422505499228271</v>
      </c>
      <c r="AZ102">
        <f t="shared" ca="1" si="59"/>
        <v>1.1327665343421087</v>
      </c>
      <c r="BA102">
        <f t="shared" ca="1" si="59"/>
        <v>1.0886585786633574</v>
      </c>
      <c r="BB102">
        <f t="shared" ca="1" si="59"/>
        <v>1.0728541040106978</v>
      </c>
      <c r="BC102">
        <f t="shared" ca="1" si="59"/>
        <v>1.0691076679243143</v>
      </c>
      <c r="BD102">
        <f t="shared" ca="1" si="59"/>
        <v>1.0728541040106978</v>
      </c>
      <c r="BE102">
        <f t="shared" ca="1" si="59"/>
        <v>1.0886585786633574</v>
      </c>
      <c r="BF102">
        <f t="shared" ca="1" si="59"/>
        <v>1.1327665343421085</v>
      </c>
      <c r="BG102">
        <f t="shared" ca="1" si="59"/>
        <v>1.2422505499228271</v>
      </c>
      <c r="BH102">
        <f t="shared" ca="1" si="59"/>
        <v>0.77355926581842438</v>
      </c>
    </row>
    <row r="103" spans="40:62" x14ac:dyDescent="0.3">
      <c r="AN103">
        <f t="shared" si="60"/>
        <v>4</v>
      </c>
      <c r="AO103">
        <f t="shared" ca="1" si="61"/>
        <v>0.86894909736036963</v>
      </c>
      <c r="AP103">
        <f t="shared" ca="1" si="59"/>
        <v>0.91511187557463802</v>
      </c>
      <c r="AQ103">
        <f t="shared" ca="1" si="59"/>
        <v>0.93434866374222669</v>
      </c>
      <c r="AR103">
        <f t="shared" ca="1" si="59"/>
        <v>0.94064811476620314</v>
      </c>
      <c r="AS103">
        <f t="shared" ca="1" si="59"/>
        <v>0.9419626383036237</v>
      </c>
      <c r="AT103">
        <f t="shared" ca="1" si="59"/>
        <v>0.94064811476620314</v>
      </c>
      <c r="AU103">
        <f t="shared" ca="1" si="59"/>
        <v>0.93434866374222669</v>
      </c>
      <c r="AV103">
        <f t="shared" ca="1" si="59"/>
        <v>0.91511187557463802</v>
      </c>
      <c r="AW103">
        <f t="shared" ca="1" si="59"/>
        <v>0.86894909736036963</v>
      </c>
      <c r="AX103">
        <f t="shared" ca="1" si="59"/>
        <v>0.78005181442096827</v>
      </c>
      <c r="AY103">
        <f t="shared" ca="1" si="59"/>
        <v>1.2666741744697645</v>
      </c>
      <c r="AZ103">
        <f t="shared" ca="1" si="59"/>
        <v>1.1519224784117514</v>
      </c>
      <c r="BA103">
        <f t="shared" ca="1" si="59"/>
        <v>1.1021892064677166</v>
      </c>
      <c r="BB103">
        <f t="shared" ca="1" si="59"/>
        <v>1.0826522860605747</v>
      </c>
      <c r="BC103">
        <f t="shared" ca="1" si="59"/>
        <v>1.077645198911241</v>
      </c>
      <c r="BD103">
        <f t="shared" ca="1" si="59"/>
        <v>1.0826522860605747</v>
      </c>
      <c r="BE103">
        <f t="shared" ca="1" si="59"/>
        <v>1.1021892064677166</v>
      </c>
      <c r="BF103">
        <f t="shared" ca="1" si="59"/>
        <v>1.1519224784117514</v>
      </c>
      <c r="BG103">
        <f t="shared" ca="1" si="59"/>
        <v>1.2666741744697645</v>
      </c>
      <c r="BH103">
        <f t="shared" ca="1" si="59"/>
        <v>0.78005181442096805</v>
      </c>
    </row>
    <row r="104" spans="40:62" x14ac:dyDescent="0.3">
      <c r="AN104">
        <f t="shared" si="60"/>
        <v>5</v>
      </c>
      <c r="AO104">
        <f t="shared" ca="1" si="61"/>
        <v>0.86446519358307705</v>
      </c>
      <c r="AP104">
        <f t="shared" ca="1" si="59"/>
        <v>0.90852528131861265</v>
      </c>
      <c r="AQ104">
        <f t="shared" ca="1" si="59"/>
        <v>0.92905495866382881</v>
      </c>
      <c r="AR104">
        <f t="shared" ca="1" si="59"/>
        <v>0.93693248786299932</v>
      </c>
      <c r="AS104">
        <f t="shared" ca="1" si="59"/>
        <v>0.93885260098849954</v>
      </c>
      <c r="AT104">
        <f t="shared" ca="1" si="59"/>
        <v>0.93693248786299932</v>
      </c>
      <c r="AU104">
        <f t="shared" ca="1" si="59"/>
        <v>0.92905495866382881</v>
      </c>
      <c r="AV104">
        <f t="shared" ca="1" si="59"/>
        <v>0.90852528131861265</v>
      </c>
      <c r="AW104">
        <f t="shared" ca="1" si="59"/>
        <v>0.86446519358307705</v>
      </c>
      <c r="AX104">
        <f t="shared" ca="1" si="59"/>
        <v>0.78557179339582017</v>
      </c>
      <c r="AY104">
        <f t="shared" ca="1" si="59"/>
        <v>1.2970104629371124</v>
      </c>
      <c r="AZ104">
        <f t="shared" ca="1" si="59"/>
        <v>1.1786506302835809</v>
      </c>
      <c r="BA104">
        <f t="shared" ca="1" si="59"/>
        <v>1.1231402838510605</v>
      </c>
      <c r="BB104">
        <f t="shared" ca="1" si="59"/>
        <v>1.0993688209798895</v>
      </c>
      <c r="BC104">
        <f t="shared" ca="1" si="59"/>
        <v>1.0928680377330813</v>
      </c>
      <c r="BD104">
        <f t="shared" ca="1" si="59"/>
        <v>1.0993688209798895</v>
      </c>
      <c r="BE104">
        <f t="shared" ca="1" si="59"/>
        <v>1.1231402838510605</v>
      </c>
      <c r="BF104">
        <f t="shared" ca="1" si="59"/>
        <v>1.1786506302835806</v>
      </c>
      <c r="BG104">
        <f t="shared" ca="1" si="59"/>
        <v>1.2970104629371126</v>
      </c>
      <c r="BH104">
        <f t="shared" ca="1" si="59"/>
        <v>0.78557179339582006</v>
      </c>
    </row>
    <row r="105" spans="40:62" x14ac:dyDescent="0.3">
      <c r="AN105">
        <f t="shared" si="60"/>
        <v>6</v>
      </c>
      <c r="AO105">
        <f t="shared" ca="1" si="61"/>
        <v>0.86025722093795065</v>
      </c>
      <c r="AP105">
        <f t="shared" ca="1" si="59"/>
        <v>0.90152392252125935</v>
      </c>
      <c r="AQ105">
        <f t="shared" ca="1" si="59"/>
        <v>0.92263547048911509</v>
      </c>
      <c r="AR105">
        <f t="shared" ca="1" si="59"/>
        <v>0.93172010331743493</v>
      </c>
      <c r="AS105">
        <f t="shared" ca="1" si="59"/>
        <v>0.93415225507249877</v>
      </c>
      <c r="AT105">
        <f t="shared" ca="1" si="59"/>
        <v>0.93172010331743493</v>
      </c>
      <c r="AU105">
        <f t="shared" ca="1" si="59"/>
        <v>0.92263547048911509</v>
      </c>
      <c r="AV105">
        <f t="shared" ca="1" si="59"/>
        <v>0.90152392252125935</v>
      </c>
      <c r="AW105">
        <f t="shared" ca="1" si="59"/>
        <v>0.86025722093795065</v>
      </c>
      <c r="AX105">
        <f t="shared" ca="1" si="59"/>
        <v>0.79114950965532127</v>
      </c>
      <c r="AY105">
        <f t="shared" ca="1" si="59"/>
        <v>1.3306793482827051</v>
      </c>
      <c r="AZ105">
        <f t="shared" ca="1" si="59"/>
        <v>1.2102119594973468</v>
      </c>
      <c r="BA105">
        <f t="shared" ca="1" si="59"/>
        <v>1.1497562940258264</v>
      </c>
      <c r="BB105">
        <f t="shared" ca="1" si="59"/>
        <v>1.1221097200111929</v>
      </c>
      <c r="BC105">
        <f t="shared" ca="1" si="59"/>
        <v>1.1142030772070461</v>
      </c>
      <c r="BD105">
        <f t="shared" ca="1" si="59"/>
        <v>1.1221097200111929</v>
      </c>
      <c r="BE105">
        <f t="shared" ca="1" si="59"/>
        <v>1.1497562940258264</v>
      </c>
      <c r="BF105">
        <f t="shared" ca="1" si="59"/>
        <v>1.2102119594973468</v>
      </c>
      <c r="BG105">
        <f t="shared" ca="1" si="59"/>
        <v>1.3306793482827053</v>
      </c>
      <c r="BH105">
        <f t="shared" ca="1" si="59"/>
        <v>0.79114950965532116</v>
      </c>
    </row>
    <row r="106" spans="40:62" x14ac:dyDescent="0.3">
      <c r="AN106">
        <f t="shared" si="60"/>
        <v>7</v>
      </c>
      <c r="AO106">
        <f t="shared" ca="1" si="61"/>
        <v>0.85742906796059026</v>
      </c>
      <c r="AP106">
        <f t="shared" ca="1" si="59"/>
        <v>0.89549880107414281</v>
      </c>
      <c r="AQ106">
        <f t="shared" ca="1" si="59"/>
        <v>0.91638498274022051</v>
      </c>
      <c r="AR106">
        <f t="shared" ca="1" si="59"/>
        <v>0.9260940899699367</v>
      </c>
      <c r="AS106">
        <f t="shared" ca="1" si="59"/>
        <v>0.92884479713287349</v>
      </c>
      <c r="AT106">
        <f t="shared" ca="1" si="59"/>
        <v>0.9260940899699367</v>
      </c>
      <c r="AU106">
        <f t="shared" ca="1" si="59"/>
        <v>0.91638498274022051</v>
      </c>
      <c r="AV106">
        <f t="shared" ca="1" si="59"/>
        <v>0.89549880107414281</v>
      </c>
      <c r="AW106">
        <f t="shared" ca="1" si="59"/>
        <v>0.85742906796059026</v>
      </c>
      <c r="AX106">
        <f t="shared" ca="1" si="59"/>
        <v>0.79703271625508254</v>
      </c>
      <c r="AY106">
        <f t="shared" ca="1" si="59"/>
        <v>1.3657250051988152</v>
      </c>
      <c r="AZ106">
        <f t="shared" ca="1" si="59"/>
        <v>1.24407709687041</v>
      </c>
      <c r="BA106">
        <f t="shared" ca="1" si="59"/>
        <v>1.1797021877192537</v>
      </c>
      <c r="BB106">
        <f t="shared" ca="1" si="59"/>
        <v>1.1488455310216532</v>
      </c>
      <c r="BC106">
        <f t="shared" ca="1" si="59"/>
        <v>1.1397536850486736</v>
      </c>
      <c r="BD106">
        <f t="shared" ca="1" si="59"/>
        <v>1.1488455310216532</v>
      </c>
      <c r="BE106">
        <f t="shared" ca="1" si="59"/>
        <v>1.1797021877192537</v>
      </c>
      <c r="BF106">
        <f t="shared" ca="1" si="59"/>
        <v>1.24407709687041</v>
      </c>
      <c r="BG106">
        <f t="shared" ca="1" si="59"/>
        <v>1.3657250051988155</v>
      </c>
      <c r="BH106">
        <f t="shared" ca="1" si="59"/>
        <v>0.79703271625508243</v>
      </c>
    </row>
    <row r="107" spans="40:62" x14ac:dyDescent="0.3">
      <c r="AN107">
        <f t="shared" si="60"/>
        <v>8</v>
      </c>
      <c r="AO107">
        <f t="shared" ca="1" si="61"/>
        <v>0.85612639358979692</v>
      </c>
      <c r="AP107">
        <f t="shared" ca="1" si="59"/>
        <v>0.89094334727623936</v>
      </c>
      <c r="AQ107">
        <f t="shared" ca="1" si="59"/>
        <v>0.91105079743102724</v>
      </c>
      <c r="AR107">
        <f t="shared" ca="1" si="59"/>
        <v>0.92090403415171151</v>
      </c>
      <c r="AS107">
        <f t="shared" ca="1" si="59"/>
        <v>0.92379819906137428</v>
      </c>
      <c r="AT107">
        <f t="shared" ca="1" si="59"/>
        <v>0.92090403415171151</v>
      </c>
      <c r="AU107">
        <f t="shared" ca="1" si="59"/>
        <v>0.91105079743102724</v>
      </c>
      <c r="AV107">
        <f t="shared" ca="1" si="59"/>
        <v>0.89094334727623936</v>
      </c>
      <c r="AW107">
        <f t="shared" ca="1" si="59"/>
        <v>0.85612639358979692</v>
      </c>
      <c r="AX107">
        <f t="shared" ca="1" si="59"/>
        <v>0.80316876393289793</v>
      </c>
      <c r="AY107">
        <f t="shared" ca="1" si="59"/>
        <v>0.7327677126482951</v>
      </c>
      <c r="AZ107">
        <f t="shared" ca="1" si="59"/>
        <v>1.2789516417190492</v>
      </c>
      <c r="BA107">
        <f t="shared" ca="1" si="59"/>
        <v>1.211438626492171</v>
      </c>
      <c r="BB107">
        <f t="shared" ca="1" si="59"/>
        <v>1.1779614750144987</v>
      </c>
      <c r="BC107">
        <f t="shared" ca="1" si="59"/>
        <v>1.1678939732125413</v>
      </c>
      <c r="BD107">
        <f t="shared" ca="1" si="59"/>
        <v>1.1779614750144987</v>
      </c>
      <c r="BE107">
        <f t="shared" ca="1" si="59"/>
        <v>1.211438626492171</v>
      </c>
      <c r="BF107">
        <f t="shared" ca="1" si="59"/>
        <v>1.2789516417190492</v>
      </c>
      <c r="BG107">
        <f t="shared" ca="1" si="59"/>
        <v>0.73276771264829521</v>
      </c>
      <c r="BH107">
        <f t="shared" ca="1" si="59"/>
        <v>0.80316876393289793</v>
      </c>
    </row>
    <row r="108" spans="40:62" x14ac:dyDescent="0.3">
      <c r="AN108">
        <f t="shared" si="60"/>
        <v>9</v>
      </c>
      <c r="AO108">
        <f t="shared" ca="1" si="61"/>
        <v>0.85613101208331366</v>
      </c>
      <c r="AP108">
        <f t="shared" ca="1" si="59"/>
        <v>0.88784839288035933</v>
      </c>
      <c r="AQ108">
        <f t="shared" ca="1" si="59"/>
        <v>0.90687908838894127</v>
      </c>
      <c r="AR108">
        <f t="shared" ca="1" si="59"/>
        <v>0.91655923731598177</v>
      </c>
      <c r="AS108">
        <f t="shared" ca="1" si="59"/>
        <v>0.91947287684707979</v>
      </c>
      <c r="AT108">
        <f t="shared" ca="1" si="59"/>
        <v>0.91655923731598177</v>
      </c>
      <c r="AU108">
        <f t="shared" ca="1" si="59"/>
        <v>0.90687908838894127</v>
      </c>
      <c r="AV108">
        <f t="shared" ca="1" si="59"/>
        <v>0.88784839288035933</v>
      </c>
      <c r="AW108">
        <f t="shared" ca="1" si="59"/>
        <v>0.85613101208331366</v>
      </c>
      <c r="AX108">
        <f t="shared" ca="1" si="59"/>
        <v>0.80944338705199503</v>
      </c>
      <c r="AY108">
        <f t="shared" ca="1" si="59"/>
        <v>0.74894853241977688</v>
      </c>
      <c r="AZ108">
        <f t="shared" ca="1" si="59"/>
        <v>1.3144088426592644</v>
      </c>
      <c r="BA108">
        <f t="shared" ca="1" si="59"/>
        <v>1.2442355431198435</v>
      </c>
      <c r="BB108">
        <f t="shared" ca="1" si="59"/>
        <v>1.2085549348108271</v>
      </c>
      <c r="BC108">
        <f t="shared" ca="1" si="59"/>
        <v>1.1976673055280991</v>
      </c>
      <c r="BD108">
        <f t="shared" ca="1" si="59"/>
        <v>1.2085549348108271</v>
      </c>
      <c r="BE108">
        <f t="shared" ca="1" si="59"/>
        <v>1.2442355431198435</v>
      </c>
      <c r="BF108">
        <f t="shared" ca="1" si="59"/>
        <v>1.3144088426592642</v>
      </c>
      <c r="BG108">
        <f t="shared" ca="1" si="59"/>
        <v>0.74894853241977688</v>
      </c>
      <c r="BH108">
        <f t="shared" ca="1" si="59"/>
        <v>0.80944338705199503</v>
      </c>
    </row>
    <row r="109" spans="40:62" x14ac:dyDescent="0.3">
      <c r="AN109">
        <f t="shared" si="60"/>
        <v>10</v>
      </c>
      <c r="AO109">
        <f t="shared" ca="1" si="61"/>
        <v>0.85715766242019564</v>
      </c>
      <c r="AP109">
        <f ca="1">(($AI$5*(ABS($AE50+SIN(AP$40/20*2*PI())*$AL50)/$X$15)^3+$AI$6*(ABS($AE50+SIN(AP$40/20*2*PI())*$AL50)/$X$15)^2+$AI$7*(ABS($AE50+SIN(AP$40/20*2*PI())*$AL50)/$X$15)+$AI$8))^SIGN($AE50+SIN(AP$40/20*2*PI())*$AL50)</f>
        <v>0.88601954436164165</v>
      </c>
      <c r="AQ109">
        <f t="shared" ca="1" si="59"/>
        <v>0.90384797218204915</v>
      </c>
      <c r="AR109">
        <f t="shared" ca="1" si="59"/>
        <v>0.91316831494991413</v>
      </c>
      <c r="AS109">
        <f t="shared" ca="1" si="59"/>
        <v>0.91602283796580664</v>
      </c>
      <c r="AT109">
        <f t="shared" ca="1" si="59"/>
        <v>0.91316831494991413</v>
      </c>
      <c r="AU109">
        <f t="shared" ca="1" si="59"/>
        <v>0.90384797218204915</v>
      </c>
      <c r="AV109">
        <f t="shared" ca="1" si="59"/>
        <v>0.88601954436164165</v>
      </c>
      <c r="AW109">
        <f t="shared" ca="1" si="59"/>
        <v>0.85715766242019564</v>
      </c>
      <c r="AX109">
        <f t="shared" ca="1" si="59"/>
        <v>0.81575562203765273</v>
      </c>
      <c r="AY109">
        <f t="shared" ca="1" si="59"/>
        <v>0.76321083460591221</v>
      </c>
      <c r="AZ109">
        <f t="shared" ca="1" si="59"/>
        <v>1.3504476229113633</v>
      </c>
      <c r="BA109">
        <f t="shared" ca="1" si="59"/>
        <v>1.2778505209962339</v>
      </c>
      <c r="BB109">
        <f t="shared" ca="1" si="59"/>
        <v>1.2402265363516154</v>
      </c>
      <c r="BC109">
        <f t="shared" ca="1" si="59"/>
        <v>1.2286213649187612</v>
      </c>
      <c r="BD109">
        <f t="shared" ca="1" si="59"/>
        <v>1.2402265363516154</v>
      </c>
      <c r="BE109">
        <f t="shared" ca="1" si="59"/>
        <v>1.2778505209962339</v>
      </c>
      <c r="BF109">
        <f t="shared" ca="1" si="59"/>
        <v>1.3504476229113631</v>
      </c>
      <c r="BG109">
        <f t="shared" ca="1" si="59"/>
        <v>0.76321083460591221</v>
      </c>
      <c r="BH109">
        <f t="shared" ca="1" si="59"/>
        <v>0.81575562203765273</v>
      </c>
    </row>
    <row r="110" spans="40:62" x14ac:dyDescent="0.3">
      <c r="AN110">
        <f t="shared" si="60"/>
        <v>11</v>
      </c>
      <c r="AO110">
        <f t="shared" ca="1" si="61"/>
        <v>0.85895204784483192</v>
      </c>
      <c r="AP110">
        <f t="shared" ca="1" si="59"/>
        <v>0.88522666474263922</v>
      </c>
      <c r="AQ110">
        <f t="shared" ca="1" si="59"/>
        <v>0.9018285970352381</v>
      </c>
      <c r="AR110">
        <f t="shared" ca="1" si="59"/>
        <v>0.91068961009730387</v>
      </c>
      <c r="AS110">
        <f t="shared" ca="1" si="59"/>
        <v>0.91343860930800169</v>
      </c>
      <c r="AT110">
        <f t="shared" ca="1" si="59"/>
        <v>0.91068961009730387</v>
      </c>
      <c r="AU110">
        <f t="shared" ca="1" si="59"/>
        <v>0.9018285970352381</v>
      </c>
      <c r="AV110">
        <f t="shared" ca="1" si="59"/>
        <v>0.88522666474263922</v>
      </c>
      <c r="AW110">
        <f t="shared" ca="1" si="59"/>
        <v>0.85895204784483192</v>
      </c>
      <c r="AX110">
        <f t="shared" ca="1" si="59"/>
        <v>0.82203079950298141</v>
      </c>
      <c r="AY110">
        <f t="shared" ca="1" si="59"/>
        <v>0.77596003588019002</v>
      </c>
      <c r="AZ110">
        <f t="shared" ca="1" si="59"/>
        <v>0.72573167699629304</v>
      </c>
      <c r="BA110">
        <f t="shared" ca="1" si="59"/>
        <v>1.3122924960211892</v>
      </c>
      <c r="BB110">
        <f t="shared" ca="1" si="59"/>
        <v>1.2728648685444479</v>
      </c>
      <c r="BC110">
        <f t="shared" ca="1" si="59"/>
        <v>1.2606028623710139</v>
      </c>
      <c r="BD110">
        <f t="shared" ca="1" si="59"/>
        <v>1.2728648685444479</v>
      </c>
      <c r="BE110">
        <f t="shared" ca="1" si="59"/>
        <v>1.312292496021189</v>
      </c>
      <c r="BF110">
        <f t="shared" ca="1" si="59"/>
        <v>0.72573167699629293</v>
      </c>
      <c r="BG110">
        <f t="shared" ca="1" si="59"/>
        <v>0.77596003588019002</v>
      </c>
      <c r="BH110">
        <f t="shared" ca="1" si="59"/>
        <v>0.82203079950298141</v>
      </c>
    </row>
    <row r="111" spans="40:62" x14ac:dyDescent="0.3">
      <c r="AN111">
        <f t="shared" si="60"/>
        <v>12</v>
      </c>
      <c r="AO111">
        <f t="shared" ca="1" si="61"/>
        <v>0.86131054210695579</v>
      </c>
      <c r="AP111">
        <f t="shared" ca="1" si="59"/>
        <v>0.88525842133706023</v>
      </c>
      <c r="AQ111">
        <f t="shared" ca="1" si="59"/>
        <v>0.90066470230124007</v>
      </c>
      <c r="AR111">
        <f t="shared" ca="1" si="59"/>
        <v>0.90902117376535985</v>
      </c>
      <c r="AS111">
        <f t="shared" ca="1" si="59"/>
        <v>0.91163927458111582</v>
      </c>
      <c r="AT111">
        <f t="shared" ca="1" si="59"/>
        <v>0.90902117376535985</v>
      </c>
      <c r="AU111">
        <f t="shared" ca="1" si="59"/>
        <v>0.90066470230124007</v>
      </c>
      <c r="AV111">
        <f t="shared" ca="1" si="59"/>
        <v>0.88525842133706023</v>
      </c>
      <c r="AW111">
        <f t="shared" ca="1" si="59"/>
        <v>0.86131054210695579</v>
      </c>
      <c r="AX111">
        <f t="shared" ca="1" si="59"/>
        <v>0.82821684232937642</v>
      </c>
      <c r="AY111">
        <f t="shared" ca="1" si="59"/>
        <v>0.78749554933041743</v>
      </c>
      <c r="AZ111">
        <f t="shared" ca="1" si="59"/>
        <v>0.74357837179438313</v>
      </c>
      <c r="BA111">
        <f t="shared" ca="1" si="59"/>
        <v>1.3476949356971006</v>
      </c>
      <c r="BB111">
        <f t="shared" ca="1" si="59"/>
        <v>1.3065142387382491</v>
      </c>
      <c r="BC111">
        <f t="shared" ca="1" si="59"/>
        <v>1.2936245781191242</v>
      </c>
      <c r="BD111">
        <f t="shared" ca="1" si="59"/>
        <v>1.3065142387382491</v>
      </c>
      <c r="BE111">
        <f t="shared" ca="1" si="59"/>
        <v>1.3476949356971006</v>
      </c>
      <c r="BF111">
        <f t="shared" ca="1" si="59"/>
        <v>0.74357837179438313</v>
      </c>
      <c r="BG111">
        <f t="shared" ca="1" si="59"/>
        <v>0.78749554933041743</v>
      </c>
      <c r="BH111">
        <f t="shared" ca="1" si="59"/>
        <v>0.82821684232937631</v>
      </c>
    </row>
    <row r="112" spans="40:62" x14ac:dyDescent="0.3">
      <c r="AN112">
        <f t="shared" si="60"/>
        <v>13</v>
      </c>
      <c r="AO112">
        <f t="shared" ca="1" si="61"/>
        <v>0.86940422890360025</v>
      </c>
      <c r="AP112">
        <f ca="1">(($AI$5*(ABS($AE53+SIN(AP$40/20*2*PI())*$AL53)/$X$15)^3+$AI$6*(ABS($AE53+SIN(AP$40/20*2*PI())*$AL53)/$X$15)^2+$AI$7*(ABS($AE53+SIN(AP$40/20*2*PI())*$AL53)/$X$15)+$AI$8))^SIGN($AE53+SIN(AP$40/20*2*PI())*$AL53)</f>
        <v>0.89085939604596565</v>
      </c>
      <c r="AQ112">
        <f t="shared" ca="1" si="59"/>
        <v>0.90469125030302233</v>
      </c>
      <c r="AR112">
        <f t="shared" ca="1" si="59"/>
        <v>0.91220746199825087</v>
      </c>
      <c r="AS112">
        <f t="shared" ca="1" si="59"/>
        <v>0.91456486366054102</v>
      </c>
      <c r="AT112">
        <f t="shared" ca="1" si="59"/>
        <v>0.91220746199825087</v>
      </c>
      <c r="AU112">
        <f t="shared" ca="1" si="59"/>
        <v>0.90469125030302233</v>
      </c>
      <c r="AV112">
        <f t="shared" ca="1" si="59"/>
        <v>0.89085939604596565</v>
      </c>
      <c r="AW112">
        <f t="shared" ca="1" si="59"/>
        <v>0.86940422890360036</v>
      </c>
      <c r="AX112">
        <f t="shared" ca="1" si="59"/>
        <v>0.83981562737896442</v>
      </c>
      <c r="AY112">
        <f t="shared" ca="1" si="59"/>
        <v>0.80347142088966017</v>
      </c>
      <c r="AZ112">
        <f t="shared" ca="1" si="59"/>
        <v>0.76432985033522571</v>
      </c>
      <c r="BA112">
        <f t="shared" ca="1" si="59"/>
        <v>0.72863639918336731</v>
      </c>
      <c r="BB112">
        <f t="shared" ca="1" si="59"/>
        <v>1.3476060499922469</v>
      </c>
      <c r="BC112">
        <f t="shared" ca="1" si="59"/>
        <v>1.3333751082023426</v>
      </c>
      <c r="BD112">
        <f t="shared" ca="1" si="59"/>
        <v>1.3476060499922469</v>
      </c>
      <c r="BE112">
        <f t="shared" ca="1" si="59"/>
        <v>0.72863639918336731</v>
      </c>
      <c r="BF112">
        <f t="shared" ca="1" si="59"/>
        <v>0.76432985033522571</v>
      </c>
      <c r="BG112">
        <f t="shared" ca="1" si="59"/>
        <v>0.80347142088966017</v>
      </c>
      <c r="BH112">
        <f t="shared" ca="1" si="59"/>
        <v>0.83981562737896442</v>
      </c>
    </row>
    <row r="113" spans="40:60" x14ac:dyDescent="0.3">
      <c r="AN113">
        <f t="shared" si="60"/>
        <v>14</v>
      </c>
      <c r="AO113">
        <f t="shared" ca="1" si="61"/>
        <v>0.88329525280354493</v>
      </c>
      <c r="AP113">
        <f t="shared" ca="1" si="59"/>
        <v>0.90192206713936796</v>
      </c>
      <c r="AQ113">
        <f t="shared" ca="1" si="59"/>
        <v>0.91372812001413239</v>
      </c>
      <c r="AR113">
        <f t="shared" ca="1" si="59"/>
        <v>0.92004574690065455</v>
      </c>
      <c r="AS113">
        <f t="shared" ca="1" si="59"/>
        <v>0.92200863297584168</v>
      </c>
      <c r="AT113">
        <f t="shared" ca="1" si="59"/>
        <v>0.92004574690065455</v>
      </c>
      <c r="AU113">
        <f t="shared" ca="1" si="59"/>
        <v>0.91372812001413239</v>
      </c>
      <c r="AV113">
        <f t="shared" ca="1" si="59"/>
        <v>0.90192206713936796</v>
      </c>
      <c r="AW113">
        <f t="shared" ca="1" si="59"/>
        <v>0.88329525280354493</v>
      </c>
      <c r="AX113">
        <f t="shared" ca="1" si="59"/>
        <v>0.85720116981479466</v>
      </c>
      <c r="AY113">
        <f t="shared" ca="1" si="59"/>
        <v>0.82472923575049895</v>
      </c>
      <c r="AZ113">
        <f t="shared" ca="1" si="59"/>
        <v>0.78940499052371316</v>
      </c>
      <c r="BA113">
        <f t="shared" ca="1" si="59"/>
        <v>0.75695977801811365</v>
      </c>
      <c r="BB113">
        <f t="shared" ca="1" si="59"/>
        <v>0.73394472024062862</v>
      </c>
      <c r="BC113">
        <f t="shared" ca="1" si="59"/>
        <v>0.72560398308989615</v>
      </c>
      <c r="BD113">
        <f t="shared" ca="1" si="59"/>
        <v>0.73394472024062862</v>
      </c>
      <c r="BE113">
        <f t="shared" ca="1" si="59"/>
        <v>0.75695977801811365</v>
      </c>
      <c r="BF113">
        <f t="shared" ca="1" si="59"/>
        <v>0.78940499052371305</v>
      </c>
      <c r="BG113">
        <f t="shared" ca="1" si="59"/>
        <v>0.82472923575049895</v>
      </c>
      <c r="BH113">
        <f t="shared" ca="1" si="59"/>
        <v>0.85720116981479455</v>
      </c>
    </row>
    <row r="114" spans="40:60" x14ac:dyDescent="0.3">
      <c r="AN114">
        <f t="shared" si="60"/>
        <v>15</v>
      </c>
      <c r="AO114">
        <f t="shared" ca="1" si="61"/>
        <v>0.89539150921815136</v>
      </c>
      <c r="AP114">
        <f t="shared" ca="1" si="59"/>
        <v>0.911381118511841</v>
      </c>
      <c r="AQ114">
        <f t="shared" ca="1" si="59"/>
        <v>0.92131306572903915</v>
      </c>
      <c r="AR114">
        <f t="shared" ca="1" si="59"/>
        <v>0.92652950245743526</v>
      </c>
      <c r="AS114">
        <f t="shared" ca="1" si="59"/>
        <v>0.92813143285496691</v>
      </c>
      <c r="AT114">
        <f t="shared" ref="AP114:BH124" ca="1" si="62">(($AI$5*(ABS($AE55+SIN(AT$40/20*2*PI())*$AL55)/$X$15)^3+$AI$6*(ABS($AE55+SIN(AT$40/20*2*PI())*$AL55)/$X$15)^2+$AI$7*(ABS($AE55+SIN(AT$40/20*2*PI())*$AL55)/$X$15)+$AI$8))^SIGN($AE55+SIN(AT$40/20*2*PI())*$AL55)</f>
        <v>0.92652950245743526</v>
      </c>
      <c r="AU114">
        <f t="shared" ca="1" si="62"/>
        <v>0.92131306572903915</v>
      </c>
      <c r="AV114">
        <f t="shared" ca="1" si="62"/>
        <v>0.911381118511841</v>
      </c>
      <c r="AW114">
        <f t="shared" ca="1" si="62"/>
        <v>0.89539150921815136</v>
      </c>
      <c r="AX114">
        <f t="shared" ca="1" si="62"/>
        <v>0.87258005583617981</v>
      </c>
      <c r="AY114">
        <f t="shared" ca="1" si="62"/>
        <v>0.84376850526778568</v>
      </c>
      <c r="AZ114">
        <f t="shared" ca="1" si="62"/>
        <v>0.81207043760423969</v>
      </c>
      <c r="BA114">
        <f t="shared" ca="1" si="62"/>
        <v>0.78272176802017335</v>
      </c>
      <c r="BB114">
        <f t="shared" ca="1" si="62"/>
        <v>0.76179687292192066</v>
      </c>
      <c r="BC114">
        <f t="shared" ca="1" si="62"/>
        <v>0.75419484533796655</v>
      </c>
      <c r="BD114">
        <f t="shared" ca="1" si="62"/>
        <v>0.76179687292192066</v>
      </c>
      <c r="BE114">
        <f t="shared" ca="1" si="62"/>
        <v>0.78272176802017324</v>
      </c>
      <c r="BF114">
        <f t="shared" ca="1" si="62"/>
        <v>0.81207043760423958</v>
      </c>
      <c r="BG114">
        <f t="shared" ca="1" si="62"/>
        <v>0.84376850526778568</v>
      </c>
      <c r="BH114">
        <f t="shared" ca="1" si="62"/>
        <v>0.87258005583617981</v>
      </c>
    </row>
    <row r="115" spans="40:60" x14ac:dyDescent="0.3">
      <c r="AN115">
        <f t="shared" si="60"/>
        <v>16</v>
      </c>
      <c r="AO115">
        <f t="shared" ca="1" si="61"/>
        <v>0.90267814228664345</v>
      </c>
      <c r="AP115">
        <f t="shared" ca="1" si="62"/>
        <v>0.9169775138469024</v>
      </c>
      <c r="AQ115">
        <f t="shared" ca="1" si="62"/>
        <v>0.92571741489491921</v>
      </c>
      <c r="AR115">
        <f t="shared" ca="1" si="62"/>
        <v>0.93023817059737157</v>
      </c>
      <c r="AS115">
        <f t="shared" ca="1" si="62"/>
        <v>0.93161300482980058</v>
      </c>
      <c r="AT115">
        <f t="shared" ca="1" si="62"/>
        <v>0.93023817059737157</v>
      </c>
      <c r="AU115">
        <f t="shared" ca="1" si="62"/>
        <v>0.92571741489491921</v>
      </c>
      <c r="AV115">
        <f t="shared" ca="1" si="62"/>
        <v>0.9169775138469024</v>
      </c>
      <c r="AW115">
        <f t="shared" ca="1" si="62"/>
        <v>0.90267814228664345</v>
      </c>
      <c r="AX115">
        <f t="shared" ca="1" si="62"/>
        <v>0.88198554434473553</v>
      </c>
      <c r="AY115">
        <f t="shared" ca="1" si="62"/>
        <v>0.85555068087517872</v>
      </c>
      <c r="AZ115">
        <f t="shared" ca="1" si="62"/>
        <v>0.82621786299110855</v>
      </c>
      <c r="BA115">
        <f t="shared" ca="1" si="62"/>
        <v>0.79889560035076679</v>
      </c>
      <c r="BB115">
        <f t="shared" ca="1" si="62"/>
        <v>0.77934139832450322</v>
      </c>
      <c r="BC115">
        <f t="shared" ca="1" si="62"/>
        <v>0.77222429856442543</v>
      </c>
      <c r="BD115">
        <f t="shared" ca="1" si="62"/>
        <v>0.77934139832450322</v>
      </c>
      <c r="BE115">
        <f t="shared" ca="1" si="62"/>
        <v>0.79889560035076679</v>
      </c>
      <c r="BF115">
        <f t="shared" ca="1" si="62"/>
        <v>0.82621786299110855</v>
      </c>
      <c r="BG115">
        <f t="shared" ca="1" si="62"/>
        <v>0.85555068087517872</v>
      </c>
      <c r="BH115">
        <f t="shared" ca="1" si="62"/>
        <v>0.88198554434473542</v>
      </c>
    </row>
    <row r="116" spans="40:60" x14ac:dyDescent="0.3">
      <c r="AN116">
        <f t="shared" si="60"/>
        <v>17</v>
      </c>
      <c r="AO116">
        <f t="shared" ca="1" si="61"/>
        <v>0.90267814228664345</v>
      </c>
      <c r="AP116">
        <f t="shared" ca="1" si="62"/>
        <v>0.9169775138469024</v>
      </c>
      <c r="AQ116">
        <f t="shared" ca="1" si="62"/>
        <v>0.92571741489491921</v>
      </c>
      <c r="AR116">
        <f t="shared" ca="1" si="62"/>
        <v>0.93023817059737157</v>
      </c>
      <c r="AS116">
        <f t="shared" ca="1" si="62"/>
        <v>0.93161300482980058</v>
      </c>
      <c r="AT116">
        <f t="shared" ca="1" si="62"/>
        <v>0.93023817059737157</v>
      </c>
      <c r="AU116">
        <f t="shared" ca="1" si="62"/>
        <v>0.92571741489491921</v>
      </c>
      <c r="AV116">
        <f t="shared" ca="1" si="62"/>
        <v>0.9169775138469024</v>
      </c>
      <c r="AW116">
        <f t="shared" ca="1" si="62"/>
        <v>0.90267814228664345</v>
      </c>
      <c r="AX116">
        <f t="shared" ca="1" si="62"/>
        <v>0.88198554434473553</v>
      </c>
      <c r="AY116">
        <f t="shared" ca="1" si="62"/>
        <v>0.85555068087517872</v>
      </c>
      <c r="AZ116">
        <f t="shared" ca="1" si="62"/>
        <v>0.82621786299110855</v>
      </c>
      <c r="BA116">
        <f t="shared" ca="1" si="62"/>
        <v>0.79889560035076679</v>
      </c>
      <c r="BB116">
        <f t="shared" ca="1" si="62"/>
        <v>0.77934139832450322</v>
      </c>
      <c r="BC116">
        <f t="shared" ca="1" si="62"/>
        <v>0.77222429856442543</v>
      </c>
      <c r="BD116">
        <f t="shared" ca="1" si="62"/>
        <v>0.77934139832450322</v>
      </c>
      <c r="BE116">
        <f t="shared" ca="1" si="62"/>
        <v>0.79889560035076679</v>
      </c>
      <c r="BF116">
        <f t="shared" ca="1" si="62"/>
        <v>0.82621786299110855</v>
      </c>
      <c r="BG116">
        <f t="shared" ca="1" si="62"/>
        <v>0.85555068087517872</v>
      </c>
      <c r="BH116">
        <f t="shared" ca="1" si="62"/>
        <v>0.88198554434473542</v>
      </c>
    </row>
    <row r="117" spans="40:60" x14ac:dyDescent="0.3">
      <c r="AN117">
        <f t="shared" si="60"/>
        <v>18</v>
      </c>
      <c r="AO117">
        <f t="shared" ca="1" si="61"/>
        <v>0.90267814228664345</v>
      </c>
      <c r="AP117">
        <f t="shared" ca="1" si="62"/>
        <v>0.9169775138469024</v>
      </c>
      <c r="AQ117">
        <f t="shared" ca="1" si="62"/>
        <v>0.92571741489491921</v>
      </c>
      <c r="AR117">
        <f t="shared" ca="1" si="62"/>
        <v>0.93023817059737157</v>
      </c>
      <c r="AS117">
        <f t="shared" ca="1" si="62"/>
        <v>0.93161300482980058</v>
      </c>
      <c r="AT117">
        <f t="shared" ca="1" si="62"/>
        <v>0.93023817059737157</v>
      </c>
      <c r="AU117">
        <f t="shared" ca="1" si="62"/>
        <v>0.92571741489491921</v>
      </c>
      <c r="AV117">
        <f t="shared" ca="1" si="62"/>
        <v>0.9169775138469024</v>
      </c>
      <c r="AW117">
        <f t="shared" ca="1" si="62"/>
        <v>0.90267814228664345</v>
      </c>
      <c r="AX117">
        <f t="shared" ca="1" si="62"/>
        <v>0.88198554434473553</v>
      </c>
      <c r="AY117">
        <f t="shared" ca="1" si="62"/>
        <v>0.85555068087517872</v>
      </c>
      <c r="AZ117">
        <f t="shared" ca="1" si="62"/>
        <v>0.82621786299110855</v>
      </c>
      <c r="BA117">
        <f t="shared" ca="1" si="62"/>
        <v>0.79889560035076679</v>
      </c>
      <c r="BB117">
        <f t="shared" ca="1" si="62"/>
        <v>0.77934139832450322</v>
      </c>
      <c r="BC117">
        <f t="shared" ca="1" si="62"/>
        <v>0.77222429856442543</v>
      </c>
      <c r="BD117">
        <f t="shared" ca="1" si="62"/>
        <v>0.77934139832450322</v>
      </c>
      <c r="BE117">
        <f t="shared" ca="1" si="62"/>
        <v>0.79889560035076679</v>
      </c>
      <c r="BF117">
        <f t="shared" ca="1" si="62"/>
        <v>0.82621786299110855</v>
      </c>
      <c r="BG117">
        <f t="shared" ca="1" si="62"/>
        <v>0.85555068087517872</v>
      </c>
      <c r="BH117">
        <f t="shared" ca="1" si="62"/>
        <v>0.88198554434473542</v>
      </c>
    </row>
    <row r="118" spans="40:60" x14ac:dyDescent="0.3">
      <c r="AN118">
        <f t="shared" si="60"/>
        <v>19</v>
      </c>
      <c r="AO118">
        <f t="shared" ca="1" si="61"/>
        <v>0.90267814228664345</v>
      </c>
      <c r="AP118">
        <f t="shared" ca="1" si="62"/>
        <v>0.9169775138469024</v>
      </c>
      <c r="AQ118">
        <f t="shared" ca="1" si="62"/>
        <v>0.92571741489491921</v>
      </c>
      <c r="AR118">
        <f t="shared" ca="1" si="62"/>
        <v>0.93023817059737157</v>
      </c>
      <c r="AS118">
        <f t="shared" ca="1" si="62"/>
        <v>0.93161300482980058</v>
      </c>
      <c r="AT118">
        <f t="shared" ca="1" si="62"/>
        <v>0.93023817059737157</v>
      </c>
      <c r="AU118">
        <f t="shared" ca="1" si="62"/>
        <v>0.92571741489491921</v>
      </c>
      <c r="AV118">
        <f t="shared" ca="1" si="62"/>
        <v>0.9169775138469024</v>
      </c>
      <c r="AW118">
        <f t="shared" ca="1" si="62"/>
        <v>0.90267814228664345</v>
      </c>
      <c r="AX118">
        <f t="shared" ca="1" si="62"/>
        <v>0.88198554434473553</v>
      </c>
      <c r="AY118">
        <f t="shared" ca="1" si="62"/>
        <v>0.85555068087517872</v>
      </c>
      <c r="AZ118">
        <f t="shared" ca="1" si="62"/>
        <v>0.82621786299110855</v>
      </c>
      <c r="BA118">
        <f t="shared" ca="1" si="62"/>
        <v>0.79889560035076679</v>
      </c>
      <c r="BB118">
        <f t="shared" ca="1" si="62"/>
        <v>0.77934139832450322</v>
      </c>
      <c r="BC118">
        <f t="shared" ca="1" si="62"/>
        <v>0.77222429856442543</v>
      </c>
      <c r="BD118">
        <f t="shared" ca="1" si="62"/>
        <v>0.77934139832450322</v>
      </c>
      <c r="BE118">
        <f t="shared" ca="1" si="62"/>
        <v>0.79889560035076679</v>
      </c>
      <c r="BF118">
        <f t="shared" ca="1" si="62"/>
        <v>0.82621786299110855</v>
      </c>
      <c r="BG118">
        <f t="shared" ca="1" si="62"/>
        <v>0.85555068087517872</v>
      </c>
      <c r="BH118">
        <f t="shared" ca="1" si="62"/>
        <v>0.88198554434473542</v>
      </c>
    </row>
    <row r="119" spans="40:60" x14ac:dyDescent="0.3">
      <c r="AN119">
        <f t="shared" si="60"/>
        <v>20</v>
      </c>
      <c r="AO119">
        <f t="shared" ca="1" si="61"/>
        <v>0.90267814228664345</v>
      </c>
      <c r="AP119">
        <f t="shared" ca="1" si="62"/>
        <v>0.9169775138469024</v>
      </c>
      <c r="AQ119">
        <f t="shared" ca="1" si="62"/>
        <v>0.92571741489491921</v>
      </c>
      <c r="AR119">
        <f t="shared" ca="1" si="62"/>
        <v>0.93023817059737157</v>
      </c>
      <c r="AS119">
        <f t="shared" ca="1" si="62"/>
        <v>0.93161300482980058</v>
      </c>
      <c r="AT119">
        <f t="shared" ca="1" si="62"/>
        <v>0.93023817059737157</v>
      </c>
      <c r="AU119">
        <f t="shared" ca="1" si="62"/>
        <v>0.92571741489491921</v>
      </c>
      <c r="AV119">
        <f t="shared" ca="1" si="62"/>
        <v>0.9169775138469024</v>
      </c>
      <c r="AW119">
        <f t="shared" ca="1" si="62"/>
        <v>0.90267814228664345</v>
      </c>
      <c r="AX119">
        <f t="shared" ca="1" si="62"/>
        <v>0.88198554434473553</v>
      </c>
      <c r="AY119">
        <f t="shared" ca="1" si="62"/>
        <v>0.85555068087517872</v>
      </c>
      <c r="AZ119">
        <f t="shared" ca="1" si="62"/>
        <v>0.82621786299110855</v>
      </c>
      <c r="BA119">
        <f t="shared" ca="1" si="62"/>
        <v>0.79889560035076679</v>
      </c>
      <c r="BB119">
        <f t="shared" ca="1" si="62"/>
        <v>0.77934139832450322</v>
      </c>
      <c r="BC119">
        <f t="shared" ca="1" si="62"/>
        <v>0.77222429856442543</v>
      </c>
      <c r="BD119">
        <f t="shared" ca="1" si="62"/>
        <v>0.77934139832450322</v>
      </c>
      <c r="BE119">
        <f t="shared" ca="1" si="62"/>
        <v>0.79889560035076679</v>
      </c>
      <c r="BF119">
        <f t="shared" ca="1" si="62"/>
        <v>0.82621786299110855</v>
      </c>
      <c r="BG119">
        <f t="shared" ca="1" si="62"/>
        <v>0.85555068087517872</v>
      </c>
      <c r="BH119">
        <f t="shared" ca="1" si="62"/>
        <v>0.88198554434473542</v>
      </c>
    </row>
    <row r="120" spans="40:60" x14ac:dyDescent="0.3">
      <c r="AN120">
        <f t="shared" si="60"/>
        <v>21</v>
      </c>
      <c r="AO120">
        <f t="shared" ca="1" si="61"/>
        <v>0.90267814228664345</v>
      </c>
      <c r="AP120">
        <f t="shared" ca="1" si="62"/>
        <v>0.9169775138469024</v>
      </c>
      <c r="AQ120">
        <f t="shared" ca="1" si="62"/>
        <v>0.92571741489491921</v>
      </c>
      <c r="AR120">
        <f t="shared" ca="1" si="62"/>
        <v>0.93023817059737157</v>
      </c>
      <c r="AS120">
        <f t="shared" ca="1" si="62"/>
        <v>0.93161300482980058</v>
      </c>
      <c r="AT120">
        <f t="shared" ca="1" si="62"/>
        <v>0.93023817059737157</v>
      </c>
      <c r="AU120">
        <f t="shared" ca="1" si="62"/>
        <v>0.92571741489491921</v>
      </c>
      <c r="AV120">
        <f t="shared" ca="1" si="62"/>
        <v>0.9169775138469024</v>
      </c>
      <c r="AW120">
        <f t="shared" ca="1" si="62"/>
        <v>0.90267814228664345</v>
      </c>
      <c r="AX120">
        <f t="shared" ca="1" si="62"/>
        <v>0.88198554434473553</v>
      </c>
      <c r="AY120">
        <f t="shared" ca="1" si="62"/>
        <v>0.85555068087517872</v>
      </c>
      <c r="AZ120">
        <f t="shared" ca="1" si="62"/>
        <v>0.82621786299110855</v>
      </c>
      <c r="BA120">
        <f t="shared" ca="1" si="62"/>
        <v>0.79889560035076679</v>
      </c>
      <c r="BB120">
        <f t="shared" ca="1" si="62"/>
        <v>0.77934139832450322</v>
      </c>
      <c r="BC120">
        <f t="shared" ca="1" si="62"/>
        <v>0.77222429856442543</v>
      </c>
      <c r="BD120">
        <f t="shared" ca="1" si="62"/>
        <v>0.77934139832450322</v>
      </c>
      <c r="BE120">
        <f t="shared" ca="1" si="62"/>
        <v>0.79889560035076679</v>
      </c>
      <c r="BF120">
        <f t="shared" ca="1" si="62"/>
        <v>0.82621786299110855</v>
      </c>
      <c r="BG120">
        <f t="shared" ca="1" si="62"/>
        <v>0.85555068087517872</v>
      </c>
      <c r="BH120">
        <f t="shared" ca="1" si="62"/>
        <v>0.88198554434473542</v>
      </c>
    </row>
    <row r="121" spans="40:60" x14ac:dyDescent="0.3">
      <c r="AN121">
        <f t="shared" si="60"/>
        <v>22</v>
      </c>
      <c r="AO121">
        <f t="shared" ca="1" si="61"/>
        <v>0.90267814228664345</v>
      </c>
      <c r="AP121">
        <f t="shared" ca="1" si="62"/>
        <v>0.9169775138469024</v>
      </c>
      <c r="AQ121">
        <f t="shared" ca="1" si="62"/>
        <v>0.92571741489491921</v>
      </c>
      <c r="AR121">
        <f t="shared" ca="1" si="62"/>
        <v>0.93023817059737157</v>
      </c>
      <c r="AS121">
        <f t="shared" ca="1" si="62"/>
        <v>0.93161300482980058</v>
      </c>
      <c r="AT121">
        <f t="shared" ca="1" si="62"/>
        <v>0.93023817059737157</v>
      </c>
      <c r="AU121">
        <f t="shared" ca="1" si="62"/>
        <v>0.92571741489491921</v>
      </c>
      <c r="AV121">
        <f t="shared" ca="1" si="62"/>
        <v>0.9169775138469024</v>
      </c>
      <c r="AW121">
        <f t="shared" ca="1" si="62"/>
        <v>0.90267814228664345</v>
      </c>
      <c r="AX121">
        <f t="shared" ca="1" si="62"/>
        <v>0.88198554434473553</v>
      </c>
      <c r="AY121">
        <f t="shared" ca="1" si="62"/>
        <v>0.85555068087517872</v>
      </c>
      <c r="AZ121">
        <f t="shared" ca="1" si="62"/>
        <v>0.82621786299110855</v>
      </c>
      <c r="BA121">
        <f t="shared" ca="1" si="62"/>
        <v>0.79889560035076679</v>
      </c>
      <c r="BB121">
        <f t="shared" ca="1" si="62"/>
        <v>0.77934139832450322</v>
      </c>
      <c r="BC121">
        <f t="shared" ca="1" si="62"/>
        <v>0.77222429856442543</v>
      </c>
      <c r="BD121">
        <f t="shared" ca="1" si="62"/>
        <v>0.77934139832450322</v>
      </c>
      <c r="BE121">
        <f t="shared" ca="1" si="62"/>
        <v>0.79889560035076679</v>
      </c>
      <c r="BF121">
        <f t="shared" ca="1" si="62"/>
        <v>0.82621786299110855</v>
      </c>
      <c r="BG121">
        <f t="shared" ca="1" si="62"/>
        <v>0.85555068087517872</v>
      </c>
      <c r="BH121">
        <f t="shared" ca="1" si="62"/>
        <v>0.88198554434473542</v>
      </c>
    </row>
    <row r="122" spans="40:60" x14ac:dyDescent="0.3">
      <c r="AN122">
        <f t="shared" si="60"/>
        <v>23</v>
      </c>
      <c r="AO122">
        <f t="shared" ca="1" si="61"/>
        <v>0.90267814228664345</v>
      </c>
      <c r="AP122">
        <f t="shared" ca="1" si="62"/>
        <v>0.9169775138469024</v>
      </c>
      <c r="AQ122">
        <f t="shared" ca="1" si="62"/>
        <v>0.92571741489491921</v>
      </c>
      <c r="AR122">
        <f t="shared" ca="1" si="62"/>
        <v>0.93023817059737157</v>
      </c>
      <c r="AS122">
        <f t="shared" ca="1" si="62"/>
        <v>0.93161300482980058</v>
      </c>
      <c r="AT122">
        <f t="shared" ca="1" si="62"/>
        <v>0.93023817059737157</v>
      </c>
      <c r="AU122">
        <f t="shared" ca="1" si="62"/>
        <v>0.92571741489491921</v>
      </c>
      <c r="AV122">
        <f t="shared" ca="1" si="62"/>
        <v>0.9169775138469024</v>
      </c>
      <c r="AW122">
        <f t="shared" ca="1" si="62"/>
        <v>0.90267814228664345</v>
      </c>
      <c r="AX122">
        <f t="shared" ca="1" si="62"/>
        <v>0.88198554434473553</v>
      </c>
      <c r="AY122">
        <f t="shared" ca="1" si="62"/>
        <v>0.85555068087517872</v>
      </c>
      <c r="AZ122">
        <f t="shared" ca="1" si="62"/>
        <v>0.82621786299110855</v>
      </c>
      <c r="BA122">
        <f t="shared" ca="1" si="62"/>
        <v>0.79889560035076679</v>
      </c>
      <c r="BB122">
        <f t="shared" ca="1" si="62"/>
        <v>0.77934139832450322</v>
      </c>
      <c r="BC122">
        <f t="shared" ca="1" si="62"/>
        <v>0.77222429856442543</v>
      </c>
      <c r="BD122">
        <f t="shared" ca="1" si="62"/>
        <v>0.77934139832450322</v>
      </c>
      <c r="BE122">
        <f t="shared" ca="1" si="62"/>
        <v>0.79889560035076679</v>
      </c>
      <c r="BF122">
        <f t="shared" ca="1" si="62"/>
        <v>0.82621786299110855</v>
      </c>
      <c r="BG122">
        <f t="shared" ca="1" si="62"/>
        <v>0.85555068087517872</v>
      </c>
      <c r="BH122">
        <f t="shared" ca="1" si="62"/>
        <v>0.88198554434473542</v>
      </c>
    </row>
    <row r="123" spans="40:60" x14ac:dyDescent="0.3">
      <c r="AN123">
        <f t="shared" si="60"/>
        <v>24</v>
      </c>
      <c r="AO123">
        <f t="shared" ca="1" si="61"/>
        <v>0.90267814228664345</v>
      </c>
      <c r="AP123">
        <f t="shared" ca="1" si="62"/>
        <v>0.9169775138469024</v>
      </c>
      <c r="AQ123">
        <f t="shared" ca="1" si="62"/>
        <v>0.92571741489491921</v>
      </c>
      <c r="AR123">
        <f t="shared" ca="1" si="62"/>
        <v>0.93023817059737157</v>
      </c>
      <c r="AS123">
        <f t="shared" ca="1" si="62"/>
        <v>0.93161300482980058</v>
      </c>
      <c r="AT123">
        <f t="shared" ca="1" si="62"/>
        <v>0.93023817059737157</v>
      </c>
      <c r="AU123">
        <f t="shared" ca="1" si="62"/>
        <v>0.92571741489491921</v>
      </c>
      <c r="AV123">
        <f t="shared" ca="1" si="62"/>
        <v>0.9169775138469024</v>
      </c>
      <c r="AW123">
        <f t="shared" ca="1" si="62"/>
        <v>0.90267814228664345</v>
      </c>
      <c r="AX123">
        <f t="shared" ca="1" si="62"/>
        <v>0.88198554434473553</v>
      </c>
      <c r="AY123">
        <f t="shared" ca="1" si="62"/>
        <v>0.85555068087517872</v>
      </c>
      <c r="AZ123">
        <f t="shared" ca="1" si="62"/>
        <v>0.82621786299110855</v>
      </c>
      <c r="BA123">
        <f t="shared" ca="1" si="62"/>
        <v>0.79889560035076679</v>
      </c>
      <c r="BB123">
        <f t="shared" ca="1" si="62"/>
        <v>0.77934139832450322</v>
      </c>
      <c r="BC123">
        <f t="shared" ca="1" si="62"/>
        <v>0.77222429856442543</v>
      </c>
      <c r="BD123">
        <f t="shared" ca="1" si="62"/>
        <v>0.77934139832450322</v>
      </c>
      <c r="BE123">
        <f t="shared" ca="1" si="62"/>
        <v>0.79889560035076679</v>
      </c>
      <c r="BF123">
        <f t="shared" ca="1" si="62"/>
        <v>0.82621786299110855</v>
      </c>
      <c r="BG123">
        <f t="shared" ca="1" si="62"/>
        <v>0.85555068087517872</v>
      </c>
      <c r="BH123">
        <f t="shared" ca="1" si="62"/>
        <v>0.88198554434473542</v>
      </c>
    </row>
    <row r="124" spans="40:60" x14ac:dyDescent="0.3">
      <c r="AN124">
        <f t="shared" si="60"/>
        <v>25</v>
      </c>
      <c r="AO124">
        <f t="shared" ca="1" si="61"/>
        <v>0.90267814228664345</v>
      </c>
      <c r="AP124">
        <f t="shared" ca="1" si="62"/>
        <v>0.9169775138469024</v>
      </c>
      <c r="AQ124">
        <f t="shared" ca="1" si="62"/>
        <v>0.92571741489491921</v>
      </c>
      <c r="AR124">
        <f t="shared" ca="1" si="62"/>
        <v>0.93023817059737157</v>
      </c>
      <c r="AS124">
        <f t="shared" ca="1" si="62"/>
        <v>0.93161300482980058</v>
      </c>
      <c r="AT124">
        <f t="shared" ca="1" si="62"/>
        <v>0.93023817059737157</v>
      </c>
      <c r="AU124">
        <f t="shared" ca="1" si="62"/>
        <v>0.92571741489491921</v>
      </c>
      <c r="AV124">
        <f t="shared" ca="1" si="62"/>
        <v>0.9169775138469024</v>
      </c>
      <c r="AW124">
        <f t="shared" ca="1" si="62"/>
        <v>0.90267814228664345</v>
      </c>
      <c r="AX124">
        <f t="shared" ca="1" si="62"/>
        <v>0.88198554434473553</v>
      </c>
      <c r="AY124">
        <f t="shared" ca="1" si="62"/>
        <v>0.85555068087517872</v>
      </c>
      <c r="AZ124">
        <f t="shared" ca="1" si="62"/>
        <v>0.82621786299110855</v>
      </c>
      <c r="BA124">
        <f t="shared" ca="1" si="62"/>
        <v>0.79889560035076679</v>
      </c>
      <c r="BB124">
        <f t="shared" ca="1" si="62"/>
        <v>0.77934139832450322</v>
      </c>
      <c r="BC124">
        <f t="shared" ca="1" si="62"/>
        <v>0.77222429856442543</v>
      </c>
      <c r="BD124">
        <f t="shared" ca="1" si="62"/>
        <v>0.77934139832450322</v>
      </c>
      <c r="BE124">
        <f t="shared" ca="1" si="62"/>
        <v>0.79889560035076679</v>
      </c>
      <c r="BF124">
        <f t="shared" ca="1" si="62"/>
        <v>0.82621786299110855</v>
      </c>
      <c r="BG124">
        <f t="shared" ca="1" si="62"/>
        <v>0.85555068087517872</v>
      </c>
      <c r="BH124">
        <f t="shared" ca="1" si="62"/>
        <v>0.88198554434473542</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
    <tabColor theme="9" tint="0.59999389629810485"/>
  </sheetPr>
  <dimension ref="A1:AD38"/>
  <sheetViews>
    <sheetView showGridLines="0" topLeftCell="C9" zoomScale="145" zoomScaleNormal="145" workbookViewId="0">
      <selection activeCell="A4" sqref="A4"/>
    </sheetView>
  </sheetViews>
  <sheetFormatPr defaultColWidth="9" defaultRowHeight="15" x14ac:dyDescent="0.3"/>
  <cols>
    <col min="29" max="29" width="10.875" customWidth="1"/>
    <col min="30" max="30" width="12.625" customWidth="1"/>
  </cols>
  <sheetData>
    <row r="1" spans="1:30" ht="28.15" customHeight="1" x14ac:dyDescent="0.3">
      <c r="A1" s="163" t="s">
        <v>428</v>
      </c>
    </row>
    <row r="2" spans="1:30" x14ac:dyDescent="0.3">
      <c r="R2" s="89" t="s">
        <v>97</v>
      </c>
    </row>
    <row r="3" spans="1:30" x14ac:dyDescent="0.3">
      <c r="R3">
        <v>8</v>
      </c>
      <c r="S3">
        <v>10382</v>
      </c>
      <c r="T3">
        <f t="shared" ref="T3:U5" si="0">R3/R$4</f>
        <v>0.66666666666666663</v>
      </c>
      <c r="U3">
        <f t="shared" si="0"/>
        <v>0.96094039244724172</v>
      </c>
    </row>
    <row r="4" spans="1:30" x14ac:dyDescent="0.3">
      <c r="R4">
        <v>12</v>
      </c>
      <c r="S4">
        <v>10804</v>
      </c>
      <c r="T4">
        <f t="shared" si="0"/>
        <v>1</v>
      </c>
      <c r="U4">
        <f t="shared" si="0"/>
        <v>1</v>
      </c>
    </row>
    <row r="5" spans="1:30" x14ac:dyDescent="0.3">
      <c r="R5">
        <v>16</v>
      </c>
      <c r="S5">
        <v>12345</v>
      </c>
      <c r="T5">
        <f t="shared" si="0"/>
        <v>1.3333333333333333</v>
      </c>
      <c r="U5">
        <f t="shared" si="0"/>
        <v>1.1426323583857831</v>
      </c>
    </row>
    <row r="6" spans="1:30" x14ac:dyDescent="0.3">
      <c r="AB6" s="89" t="s">
        <v>138</v>
      </c>
    </row>
    <row r="10" spans="1:30" x14ac:dyDescent="0.3">
      <c r="I10" t="s">
        <v>83</v>
      </c>
    </row>
    <row r="11" spans="1:30" x14ac:dyDescent="0.3">
      <c r="G11" t="s">
        <v>65</v>
      </c>
      <c r="I11">
        <v>10</v>
      </c>
      <c r="J11">
        <v>30</v>
      </c>
      <c r="K11">
        <v>50</v>
      </c>
      <c r="AB11" s="89"/>
      <c r="AC11" s="89"/>
      <c r="AD11" s="89"/>
    </row>
    <row r="12" spans="1:30" x14ac:dyDescent="0.3">
      <c r="G12">
        <v>460</v>
      </c>
      <c r="H12">
        <f>G12/150</f>
        <v>3.0666666666666669</v>
      </c>
      <c r="R12" s="89">
        <v>3.07</v>
      </c>
      <c r="S12" s="89" t="s">
        <v>93</v>
      </c>
      <c r="T12" s="89" t="s">
        <v>92</v>
      </c>
      <c r="V12" s="89">
        <v>4.2699999999999996</v>
      </c>
      <c r="W12" s="89" t="s">
        <v>93</v>
      </c>
      <c r="X12" s="89" t="s">
        <v>92</v>
      </c>
    </row>
    <row r="13" spans="1:30" x14ac:dyDescent="0.3">
      <c r="G13">
        <v>505</v>
      </c>
      <c r="H13">
        <f>G13/150</f>
        <v>3.3666666666666667</v>
      </c>
      <c r="R13" s="15">
        <v>49.880715705765397</v>
      </c>
      <c r="S13" s="15">
        <v>196.753246753247</v>
      </c>
      <c r="T13" s="15">
        <f>S13*10</f>
        <v>1967.53246753247</v>
      </c>
      <c r="V13" s="15">
        <v>50.009930486593802</v>
      </c>
      <c r="W13" s="15">
        <v>215.88330632090799</v>
      </c>
      <c r="X13" s="15">
        <f>W13*10</f>
        <v>2158.8330632090801</v>
      </c>
    </row>
    <row r="14" spans="1:30" x14ac:dyDescent="0.3">
      <c r="G14">
        <v>550</v>
      </c>
      <c r="H14">
        <f>G14/150</f>
        <v>3.6666666666666665</v>
      </c>
      <c r="R14" s="15">
        <v>70.059642147117302</v>
      </c>
      <c r="S14" s="15">
        <v>303.89610389610402</v>
      </c>
      <c r="T14" s="15">
        <f t="shared" ref="T14:T19" si="1">S14*10</f>
        <v>3038.9610389610402</v>
      </c>
      <c r="V14" s="15">
        <v>70.029791459781507</v>
      </c>
      <c r="W14" s="15">
        <v>340.35656401944902</v>
      </c>
      <c r="X14" s="15">
        <f t="shared" ref="X14:X19" si="2">W14*10</f>
        <v>3403.5656401944902</v>
      </c>
    </row>
    <row r="15" spans="1:30" x14ac:dyDescent="0.3">
      <c r="G15">
        <v>595</v>
      </c>
      <c r="H15">
        <f>G15/150</f>
        <v>3.9666666666666668</v>
      </c>
      <c r="R15" s="15">
        <v>90.099403578528793</v>
      </c>
      <c r="S15" s="15">
        <v>436.36363636363598</v>
      </c>
      <c r="T15" s="15">
        <f t="shared" si="1"/>
        <v>4363.6363636363594</v>
      </c>
      <c r="V15" s="15">
        <v>89.910625620655395</v>
      </c>
      <c r="W15" s="15">
        <v>480.38897893030799</v>
      </c>
      <c r="X15" s="15">
        <f t="shared" si="2"/>
        <v>4803.8897893030799</v>
      </c>
    </row>
    <row r="16" spans="1:30" x14ac:dyDescent="0.3">
      <c r="G16">
        <v>640</v>
      </c>
      <c r="H16">
        <f>G16/150</f>
        <v>4.2666666666666666</v>
      </c>
      <c r="R16" s="15">
        <v>109.860834990059</v>
      </c>
      <c r="S16" s="15">
        <v>578.57142857142901</v>
      </c>
      <c r="T16" s="15">
        <f t="shared" si="1"/>
        <v>5785.7142857142899</v>
      </c>
      <c r="V16" s="15">
        <v>110.20854021847001</v>
      </c>
      <c r="W16" s="15">
        <v>639.87034035656404</v>
      </c>
      <c r="X16" s="15">
        <f t="shared" si="2"/>
        <v>6398.7034035656407</v>
      </c>
    </row>
    <row r="17" spans="18:24" x14ac:dyDescent="0.3">
      <c r="R17" s="15">
        <v>129.90059642147099</v>
      </c>
      <c r="S17" s="15">
        <v>732.46753246753201</v>
      </c>
      <c r="T17" s="15">
        <f t="shared" si="1"/>
        <v>7324.6753246753196</v>
      </c>
      <c r="V17" s="15">
        <v>130.089374379345</v>
      </c>
      <c r="W17" s="15">
        <v>812.96596434359799</v>
      </c>
      <c r="X17" s="15">
        <f t="shared" si="2"/>
        <v>8129.6596434359799</v>
      </c>
    </row>
    <row r="18" spans="18:24" x14ac:dyDescent="0.3">
      <c r="R18" s="15">
        <v>149.94035785288301</v>
      </c>
      <c r="S18" s="15">
        <v>901.94805194805201</v>
      </c>
      <c r="T18" s="15">
        <f t="shared" si="1"/>
        <v>9019.4805194805194</v>
      </c>
      <c r="V18" s="15">
        <v>149.97020854021801</v>
      </c>
      <c r="W18" s="15">
        <v>1001.62074554295</v>
      </c>
      <c r="X18" s="15">
        <f t="shared" si="2"/>
        <v>10016.2074554295</v>
      </c>
    </row>
    <row r="19" spans="18:24" x14ac:dyDescent="0.3">
      <c r="R19" s="15">
        <v>170.119284294235</v>
      </c>
      <c r="S19" s="15">
        <v>1079.2207792207801</v>
      </c>
      <c r="T19" s="15">
        <f t="shared" si="1"/>
        <v>10792.207792207801</v>
      </c>
      <c r="V19" s="15">
        <v>170.12909632572001</v>
      </c>
      <c r="W19" s="15">
        <v>1201.9448946515399</v>
      </c>
      <c r="X19" s="15">
        <f t="shared" si="2"/>
        <v>12019.4489465154</v>
      </c>
    </row>
    <row r="22" spans="18:24" x14ac:dyDescent="0.3">
      <c r="S22" t="s">
        <v>25</v>
      </c>
      <c r="T22" t="s">
        <v>26</v>
      </c>
      <c r="U22" t="s">
        <v>27</v>
      </c>
    </row>
    <row r="23" spans="18:24" x14ac:dyDescent="0.3">
      <c r="R23">
        <v>3.07</v>
      </c>
      <c r="S23">
        <v>1.6438000000000001E-2</v>
      </c>
      <c r="T23">
        <v>3.7719999999999998</v>
      </c>
      <c r="U23">
        <v>-36</v>
      </c>
    </row>
    <row r="24" spans="18:24" x14ac:dyDescent="0.3">
      <c r="R24">
        <v>4.2699999999999996</v>
      </c>
      <c r="S24">
        <v>1.9335999999999999E-2</v>
      </c>
      <c r="T24">
        <v>3.9763000000000002</v>
      </c>
      <c r="U24">
        <v>-32</v>
      </c>
    </row>
    <row r="27" spans="18:24" x14ac:dyDescent="0.3">
      <c r="R27" t="s">
        <v>84</v>
      </c>
      <c r="S27" s="15">
        <v>2.415E-3</v>
      </c>
    </row>
    <row r="28" spans="18:24" x14ac:dyDescent="0.3">
      <c r="R28" t="s">
        <v>85</v>
      </c>
      <c r="S28" s="15">
        <v>9.0238999999999996E-3</v>
      </c>
    </row>
    <row r="29" spans="18:24" x14ac:dyDescent="0.3">
      <c r="R29" t="s">
        <v>86</v>
      </c>
      <c r="S29" s="15">
        <v>0.17025000000000001</v>
      </c>
    </row>
    <row r="30" spans="18:24" x14ac:dyDescent="0.3">
      <c r="R30" t="s">
        <v>87</v>
      </c>
      <c r="S30">
        <v>3.2492999999999999</v>
      </c>
    </row>
    <row r="32" spans="18:24" x14ac:dyDescent="0.3">
      <c r="S32" t="s">
        <v>88</v>
      </c>
      <c r="U32" s="91">
        <f ca="1">Tmax_p*1000</f>
        <v>42000.000000000007</v>
      </c>
      <c r="V32" t="s">
        <v>50</v>
      </c>
    </row>
    <row r="33" spans="19:23" x14ac:dyDescent="0.3">
      <c r="S33" t="s">
        <v>89</v>
      </c>
      <c r="U33" s="91">
        <f ca="1">wing_area</f>
        <v>12</v>
      </c>
      <c r="V33" t="s">
        <v>51</v>
      </c>
    </row>
    <row r="34" spans="19:23" x14ac:dyDescent="0.3">
      <c r="S34" t="s">
        <v>97</v>
      </c>
      <c r="U34" s="1719">
        <f ca="1">Scenarios!D91</f>
        <v>12</v>
      </c>
      <c r="V34">
        <f ca="1">U34/12</f>
        <v>1</v>
      </c>
      <c r="W34" t="s">
        <v>99</v>
      </c>
    </row>
    <row r="35" spans="19:23" x14ac:dyDescent="0.3">
      <c r="S35" t="s">
        <v>90</v>
      </c>
      <c r="U35">
        <f ca="1">U32/1000/U33</f>
        <v>3.5000000000000004</v>
      </c>
    </row>
    <row r="36" spans="19:23" x14ac:dyDescent="0.3">
      <c r="S36" t="s">
        <v>91</v>
      </c>
      <c r="U36" s="15">
        <f ca="1">S27*U35+S28</f>
        <v>1.7476400000000003E-2</v>
      </c>
    </row>
    <row r="37" spans="19:23" x14ac:dyDescent="0.3">
      <c r="S37" t="s">
        <v>26</v>
      </c>
      <c r="U37" s="15">
        <f ca="1">S29*U35+S30</f>
        <v>3.8451750000000002</v>
      </c>
    </row>
    <row r="38" spans="19:23" x14ac:dyDescent="0.3">
      <c r="S38" t="s">
        <v>72</v>
      </c>
      <c r="U38" s="15">
        <f ca="1">10*(U36*U33^2+U37*U33-5)*(0.46608*V34^2-0.65962*V34+1.1935)</f>
        <v>436.56955251936</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theme="9" tint="0.59999389629810485"/>
  </sheetPr>
  <dimension ref="A1:AO29"/>
  <sheetViews>
    <sheetView showGridLines="0" zoomScale="90" zoomScaleNormal="90" workbookViewId="0">
      <selection activeCell="I10" sqref="I10"/>
    </sheetView>
  </sheetViews>
  <sheetFormatPr defaultColWidth="9" defaultRowHeight="15" x14ac:dyDescent="0.3"/>
  <cols>
    <col min="3" max="3" width="9.125" style="11" customWidth="1"/>
    <col min="5" max="5" width="10.125" bestFit="1" customWidth="1"/>
    <col min="6" max="18" width="9.125" customWidth="1"/>
    <col min="21" max="21" width="9.375" customWidth="1"/>
  </cols>
  <sheetData>
    <row r="1" spans="1:41" ht="21" x14ac:dyDescent="0.3">
      <c r="A1" s="6" t="s">
        <v>176</v>
      </c>
      <c r="C1" s="11">
        <f ca="1">Performance!C62*Performance!C32*Performance!C31*Performance!C30*Performance!C29*Scenarios!D55</f>
        <v>0.6853957246939919</v>
      </c>
      <c r="E1" t="s">
        <v>182</v>
      </c>
    </row>
    <row r="2" spans="1:41" x14ac:dyDescent="0.3">
      <c r="E2" s="85"/>
      <c r="W2" s="85"/>
    </row>
    <row r="3" spans="1:41" x14ac:dyDescent="0.3">
      <c r="A3" s="4" t="s">
        <v>179</v>
      </c>
      <c r="B3" s="4"/>
      <c r="C3" s="5"/>
      <c r="D3" s="4"/>
      <c r="E3" s="4"/>
      <c r="G3" s="4" t="s">
        <v>177</v>
      </c>
      <c r="H3" s="4"/>
      <c r="I3" s="4"/>
      <c r="J3" s="4"/>
      <c r="K3" s="4"/>
      <c r="M3" s="4" t="s">
        <v>180</v>
      </c>
      <c r="N3" s="4"/>
      <c r="O3" s="4"/>
      <c r="P3" s="4"/>
      <c r="Q3" s="4"/>
      <c r="S3" s="4" t="s">
        <v>178</v>
      </c>
      <c r="T3" s="4"/>
      <c r="U3" s="4"/>
      <c r="V3" s="4"/>
      <c r="W3" s="4"/>
      <c r="Y3" s="4" t="s">
        <v>181</v>
      </c>
      <c r="Z3" s="4"/>
      <c r="AA3" s="4"/>
      <c r="AB3" s="4"/>
      <c r="AC3" s="4"/>
      <c r="AE3" s="4" t="s">
        <v>183</v>
      </c>
      <c r="AF3" s="4"/>
      <c r="AG3" s="4"/>
      <c r="AH3" s="4"/>
      <c r="AI3" s="4"/>
      <c r="AN3" t="s">
        <v>1749</v>
      </c>
    </row>
    <row r="4" spans="1:41" x14ac:dyDescent="0.3">
      <c r="A4" s="12"/>
      <c r="B4" s="86" t="s">
        <v>125</v>
      </c>
      <c r="C4" s="87" t="s">
        <v>126</v>
      </c>
      <c r="D4" s="86" t="s">
        <v>127</v>
      </c>
      <c r="E4" s="86" t="s">
        <v>171</v>
      </c>
      <c r="G4" s="12"/>
      <c r="H4" s="86" t="s">
        <v>125</v>
      </c>
      <c r="I4" s="86" t="s">
        <v>126</v>
      </c>
      <c r="J4" s="86" t="s">
        <v>127</v>
      </c>
      <c r="K4" s="86" t="s">
        <v>171</v>
      </c>
      <c r="M4" s="12"/>
      <c r="N4" s="86" t="s">
        <v>125</v>
      </c>
      <c r="O4" s="86" t="s">
        <v>126</v>
      </c>
      <c r="P4" s="86" t="s">
        <v>127</v>
      </c>
      <c r="Q4" s="86" t="s">
        <v>171</v>
      </c>
      <c r="S4" s="12"/>
      <c r="T4" s="86" t="s">
        <v>125</v>
      </c>
      <c r="U4" s="86" t="s">
        <v>126</v>
      </c>
      <c r="V4" s="86" t="s">
        <v>127</v>
      </c>
      <c r="W4" s="86" t="s">
        <v>171</v>
      </c>
      <c r="Y4" s="12"/>
      <c r="Z4" s="86" t="s">
        <v>125</v>
      </c>
      <c r="AA4" s="86" t="s">
        <v>126</v>
      </c>
      <c r="AB4" s="86" t="s">
        <v>127</v>
      </c>
      <c r="AC4" s="86" t="s">
        <v>171</v>
      </c>
      <c r="AE4" s="12"/>
      <c r="AF4" s="86" t="s">
        <v>125</v>
      </c>
      <c r="AG4" s="86" t="s">
        <v>126</v>
      </c>
      <c r="AH4" s="86" t="s">
        <v>127</v>
      </c>
      <c r="AI4" s="86" t="s">
        <v>171</v>
      </c>
      <c r="AK4" s="12"/>
      <c r="AL4" s="86" t="s">
        <v>125</v>
      </c>
      <c r="AM4" s="86" t="s">
        <v>126</v>
      </c>
      <c r="AN4" s="86" t="s">
        <v>127</v>
      </c>
      <c r="AO4" s="86" t="s">
        <v>171</v>
      </c>
    </row>
    <row r="5" spans="1:41" x14ac:dyDescent="0.3">
      <c r="A5" s="88">
        <v>1</v>
      </c>
      <c r="B5" s="4">
        <f ca="1">MIN(Performance!$C$45,4/18*(Scenarios!$D$68*COS(Performance!$C$44))^3/Performance!$C$46^2*rho*Scenarios!$D$20*(A5*COS(Scenarios!$D$84))^2)</f>
        <v>239.64256869456295</v>
      </c>
      <c r="C5" s="5">
        <f ca="1">Performance!C$46/(Scenarios!D$68*COS(Performance!C$44))^1.5*SQRT(B5/(0.5*rho*Scenarios!D$20))</f>
        <v>0.65209840048920376</v>
      </c>
      <c r="D5" s="3">
        <f ca="1">B5*(A5*COS(Scenarios!D$84)-C5)</f>
        <v>78.135267867424332</v>
      </c>
      <c r="E5" s="3">
        <f t="shared" ref="E5:E29" ca="1" si="0">MIN(D5*$C$1,P*1000)</f>
        <v>53.553578544152479</v>
      </c>
      <c r="F5">
        <f ca="1">2/3*A5*COS(Scenarios!$D$84)</f>
        <v>0.65209840048920376</v>
      </c>
      <c r="G5" s="88">
        <v>1</v>
      </c>
      <c r="H5" s="4">
        <f ca="1">MIN(Performance!C$45,4/9*Scenarios!D$68^3/Performance!C$46^2*0.5*rho*Scenarios!D$20*G5^2)</f>
        <v>264.87496846721046</v>
      </c>
      <c r="I5" s="2">
        <f ca="1">Performance!C$46/Scenarios!D$68^1.5*SQRT(H5/(0.5*rho*Scenarios!D$20))</f>
        <v>0.66666666666666674</v>
      </c>
      <c r="J5" s="3">
        <f ca="1">H5*(G5-I5)</f>
        <v>88.291656155736803</v>
      </c>
      <c r="K5" s="3">
        <f t="shared" ref="K5:K29" ca="1" si="1">MIN(J5*$C$1,P*1000)</f>
        <v>60.514723655293977</v>
      </c>
      <c r="M5" s="88">
        <v>1</v>
      </c>
      <c r="N5" s="4">
        <f ca="1">MIN(Performance!C$45,4/9*Scenarios!D$68^3/Performance!C$46^2*0.5*rho*Scenarios!D$20*(M5*COS(Scenarios!D$75))^2)</f>
        <v>227.70503769956011</v>
      </c>
      <c r="O5" s="2">
        <f ca="1">(Performance!C$46/Scenarios!D$68^(3/2))*SQRT(N5/(0.5*rho*Scenarios!D$20))</f>
        <v>0.61812256971119173</v>
      </c>
      <c r="P5" s="3">
        <f ca="1">N5*(M5*COS(Scenarios!D$75)-O5)</f>
        <v>70.374811519517905</v>
      </c>
      <c r="Q5" s="3">
        <f t="shared" ref="Q5:Q29" ca="1" si="2">MIN(P5*$C$1,P*1000)</f>
        <v>48.234594941623065</v>
      </c>
      <c r="R5">
        <f ca="1">2/3*M5*COS(Scenarios!$D$75)</f>
        <v>0.61812256971119162</v>
      </c>
      <c r="S5" s="88">
        <v>1</v>
      </c>
      <c r="T5" s="3">
        <f ca="1">MIN(Performance!$C$45,4/18*(Scenarios!$D$68*COS(Performance!$C$44))^3/Performance!$C$46^2*rho*Scenarios!$D$20*(S5*MeanWindAngle!$M$26)^2)</f>
        <v>207.5300864115404</v>
      </c>
      <c r="U5" s="13">
        <f ca="1">Performance!$C$46/(Scenarios!$D$68*COS(Performance!$C$44))^1.5*SQRT(T5/(0.5*rho*Scenarios!$D$20))</f>
        <v>0.60683648673844548</v>
      </c>
      <c r="V5" s="3">
        <f ca="1">T5*(S5*MeanWindAngle!M$26-U5)</f>
        <v>62.968414265252612</v>
      </c>
      <c r="W5" s="3">
        <f t="shared" ref="W5:W29" ca="1" si="3">MIN(V5*$C$1,P*1000)</f>
        <v>43.158281928164314</v>
      </c>
      <c r="X5">
        <f ca="1">2/3*S5*MeanWindAngle!M$26</f>
        <v>0.60683648673844548</v>
      </c>
      <c r="Y5" s="88">
        <v>1</v>
      </c>
      <c r="Z5" s="3">
        <f ca="1">MIN(Performance!$C$45,4/18*(Scenarios!$D$68*COS(Performance!$C$44))^3/Performance!$C$46^2*rho*Scenarios!$D$20*(Y5*MeanWindAngle!$M$26)^2)</f>
        <v>207.5300864115404</v>
      </c>
      <c r="AA5" s="14">
        <f ca="1">Performance!$C$46/(Scenarios!$D$68*COS(Performance!$C$44))^1.5*SQRT(Z5/(0.5*rho*Scenarios!$D$20))*MeanWindAngle!$P$28</f>
        <v>0.67505606071877389</v>
      </c>
      <c r="AB5" s="3">
        <f ca="1">Z5*(Y5*MeanWindAngle!$M$26-AA5)</f>
        <v>48.810800182156584</v>
      </c>
      <c r="AC5" s="3">
        <f t="shared" ref="AC5:AC29" ca="1" si="4">MIN(AB5*$C$1,P*1000)</f>
        <v>33.454713763742845</v>
      </c>
      <c r="AE5" s="88">
        <v>1</v>
      </c>
      <c r="AF5" s="3">
        <f ca="1">MIN(Performance!$C$45,4/18*(Scenarios!$D$68*COS(Performance!$C$44))^3/Performance!$C$46^2*rho*Scenarios!$D$20*(AE5*MeanWindAngle!$M$26)^2)</f>
        <v>207.5300864115404</v>
      </c>
      <c r="AG5" s="14">
        <f ca="1">Performance!$C$46/(Scenarios!$D$68*COS(Performance!$C$44))^1.5*SQRT(AF5/(0.5*rho*Scenarios!$D$20))*MeanWindAngle!$P$28</f>
        <v>0.67505606071877389</v>
      </c>
      <c r="AH5" s="3">
        <f ca="1">AF5*(AE5*MeanWindAngle!$M$26-AG5)</f>
        <v>48.810800182156584</v>
      </c>
      <c r="AI5" s="3">
        <f ca="1">MIN(AH5*Performance!AG84,P*1000)</f>
        <v>0</v>
      </c>
      <c r="AK5" s="88">
        <v>1</v>
      </c>
      <c r="AL5" s="3"/>
      <c r="AM5" s="14"/>
      <c r="AN5" s="3"/>
      <c r="AO5" s="3"/>
    </row>
    <row r="6" spans="1:41" x14ac:dyDescent="0.3">
      <c r="A6" s="88">
        <v>2</v>
      </c>
      <c r="B6" s="4">
        <f ca="1">MIN(Performance!$C$45,4/18*(Scenarios!$D$68*COS(Performance!$C$44))^3/Performance!$C$46^2*rho*Scenarios!$D$20*(A6*COS(Scenarios!$D$84))^2)</f>
        <v>958.57027477825181</v>
      </c>
      <c r="C6" s="5">
        <f ca="1">Performance!C$46/(Scenarios!D$68*COS(Performance!C$44))^1.5*SQRT(B6/(0.5*rho*Scenarios!D$20))</f>
        <v>1.3041968009784075</v>
      </c>
      <c r="D6" s="3">
        <f ca="1">B6*(A6*COS(Scenarios!D$84)-C6)</f>
        <v>625.08214293939466</v>
      </c>
      <c r="E6" s="3">
        <f t="shared" ca="1" si="0"/>
        <v>428.42862835321984</v>
      </c>
      <c r="F6">
        <f ca="1">2/3*M6*COS(Scenarios!$D$84)</f>
        <v>1.3041968009784075</v>
      </c>
      <c r="G6" s="88">
        <v>2</v>
      </c>
      <c r="H6" s="4">
        <f ca="1">MIN(Performance!C$45,4/9*Scenarios!D$68^3/Performance!C$46^2*0.5*rho*Scenarios!D$20*G6^2)</f>
        <v>1059.4998738688419</v>
      </c>
      <c r="I6" s="2">
        <f ca="1">Performance!C$46/Scenarios!D$68^1.5*SQRT(H6/(0.5*rho*Scenarios!D$20))</f>
        <v>1.3333333333333335</v>
      </c>
      <c r="J6" s="3">
        <f t="shared" ref="J6:J29" ca="1" si="5">H6*(G6-I6)</f>
        <v>706.33324924589442</v>
      </c>
      <c r="K6" s="3">
        <f t="shared" ca="1" si="1"/>
        <v>484.11778924235182</v>
      </c>
      <c r="M6" s="88">
        <v>2</v>
      </c>
      <c r="N6" s="4">
        <f ca="1">MIN(Performance!C$45,4/9*Scenarios!D$68^3/Performance!C$46^2*0.5*rho*Scenarios!D$20*(M6*COS(Scenarios!D$75))^2)</f>
        <v>910.82015079824043</v>
      </c>
      <c r="O6" s="2">
        <f ca="1">(Performance!C$46/Scenarios!D$68^(3/2))*SQRT(N6/(0.5*rho*Scenarios!D$20))</f>
        <v>1.2362451394223835</v>
      </c>
      <c r="P6" s="3">
        <f ca="1">N6*(M6*COS(Scenarios!D$75)-O6)</f>
        <v>562.99849215614324</v>
      </c>
      <c r="Q6" s="3">
        <f t="shared" ca="1" si="2"/>
        <v>385.87675953298452</v>
      </c>
      <c r="R6">
        <f ca="1">2/3*M6*COS(Scenarios!$D$75)</f>
        <v>1.2362451394223832</v>
      </c>
      <c r="S6" s="88">
        <v>2</v>
      </c>
      <c r="T6" s="3">
        <f ca="1">MIN(Performance!$C$45,4/18*(Scenarios!$D$68*COS(Performance!$C$44))^3/Performance!$C$46^2*rho*Scenarios!$D$20*(S6*MeanWindAngle!$M$26)^2)</f>
        <v>830.12034564616158</v>
      </c>
      <c r="U6" s="13">
        <f ca="1">Performance!$C$46/(Scenarios!$D$68*COS(Performance!$C$44))^1.5*SQRT(T6/(0.5*rho*Scenarios!$D$20))</f>
        <v>1.213672973476891</v>
      </c>
      <c r="V6" s="3">
        <f ca="1">T6*(S6*MeanWindAngle!M$26-U6)</f>
        <v>503.7473141220209</v>
      </c>
      <c r="W6" s="3">
        <f t="shared" ca="1" si="3"/>
        <v>345.26625542531451</v>
      </c>
      <c r="X6">
        <f ca="1">2/3*S6*MeanWindAngle!M$26</f>
        <v>1.213672973476891</v>
      </c>
      <c r="Y6" s="88">
        <v>2</v>
      </c>
      <c r="Z6" s="3">
        <f ca="1">MIN(Performance!$C$45,4/18*(Scenarios!$D$68*COS(Performance!$C$44))^3/Performance!$C$46^2*rho*Scenarios!$D$20*(Y6*MeanWindAngle!$M$26)^2)</f>
        <v>830.12034564616158</v>
      </c>
      <c r="AA6" s="14">
        <f ca="1">Performance!$C$46/(Scenarios!$D$68*COS(Performance!$C$44))^1.5*SQRT(Z6/(0.5*rho*Scenarios!$D$20))*MeanWindAngle!$P$28</f>
        <v>1.3501121214375478</v>
      </c>
      <c r="AB6" s="3">
        <f ca="1">Z6*(Y6*MeanWindAngle!M$26-AA6)</f>
        <v>390.48640145725267</v>
      </c>
      <c r="AC6" s="3">
        <f t="shared" ca="1" si="4"/>
        <v>267.63771010994276</v>
      </c>
      <c r="AE6" s="88">
        <v>2</v>
      </c>
      <c r="AF6" s="3">
        <f ca="1">MIN(Performance!$C$45,4/18*(Scenarios!$D$68*COS(Performance!$C$44))^3/Performance!$C$46^2*rho*Scenarios!$D$20*(AE6*MeanWindAngle!$M$26)^2)</f>
        <v>830.12034564616158</v>
      </c>
      <c r="AG6" s="14">
        <f ca="1">Performance!$C$46/(Scenarios!$D$68*COS(Performance!$C$44))^1.5*SQRT(AF6/(0.5*rho*Scenarios!$D$20))*MeanWindAngle!$P$28</f>
        <v>1.3501121214375478</v>
      </c>
      <c r="AH6" s="3">
        <f ca="1">AF6*(AE6*MeanWindAngle!$M$26-AG6)</f>
        <v>390.48640145725267</v>
      </c>
      <c r="AI6" s="3">
        <f ca="1">MIN(AH6*Performance!AG85,P*1000)</f>
        <v>0</v>
      </c>
      <c r="AK6" s="88">
        <v>2</v>
      </c>
      <c r="AL6" s="3"/>
      <c r="AM6" s="14"/>
      <c r="AN6" s="3"/>
      <c r="AO6" s="3"/>
    </row>
    <row r="7" spans="1:41" x14ac:dyDescent="0.3">
      <c r="A7" s="88">
        <v>3</v>
      </c>
      <c r="B7" s="4">
        <f ca="1">MIN(Performance!$C$45,4/18*(Scenarios!$D$68*COS(Performance!$C$44))^3/Performance!$C$46^2*rho*Scenarios!$D$20*(A7*COS(Scenarios!$D$84))^2)</f>
        <v>2156.7831182510663</v>
      </c>
      <c r="C7" s="5">
        <f ca="1">Performance!C$46/(Scenarios!D$68*COS(Performance!C$44))^1.5*SQRT(B7/(0.5*rho*Scenarios!D$20))</f>
        <v>1.9562952014676112</v>
      </c>
      <c r="D7" s="3">
        <f ca="1">B7*(A7*COS(Scenarios!D$84)-C7)</f>
        <v>2109.652232420457</v>
      </c>
      <c r="E7" s="3">
        <f t="shared" ca="1" si="0"/>
        <v>1445.946620692117</v>
      </c>
      <c r="F7">
        <f ca="1">2/3*M7*COS(Scenarios!$D$84)</f>
        <v>1.9562952014676114</v>
      </c>
      <c r="G7" s="88">
        <v>3</v>
      </c>
      <c r="H7" s="4">
        <f ca="1">MIN(Performance!C$45,4/9*Scenarios!D$68^3/Performance!C$46^2*0.5*rho*Scenarios!D$20*G7^2)</f>
        <v>2383.874716204894</v>
      </c>
      <c r="I7" s="2">
        <f ca="1">Performance!C$46/Scenarios!D$68^1.5*SQRT(H7/(0.5*rho*Scenarios!D$20))</f>
        <v>2.0000000000000004</v>
      </c>
      <c r="J7" s="3">
        <f t="shared" ca="1" si="5"/>
        <v>2383.874716204893</v>
      </c>
      <c r="K7" s="3">
        <f ca="1">MIN(J7*$C$1,P*1000)</f>
        <v>1633.8975386929369</v>
      </c>
      <c r="M7" s="88">
        <v>3</v>
      </c>
      <c r="N7" s="4">
        <f ca="1">MIN(Performance!C$45,4/9*Scenarios!D$68^3/Performance!C$46^2*0.5*rho*Scenarios!D$20*(M7*COS(Scenarios!D$75))^2)</f>
        <v>2049.3453392960409</v>
      </c>
      <c r="O7" s="2">
        <f ca="1">(Performance!C$46/Scenarios!D$68^(3/2))*SQRT(N7/(0.5*rho*Scenarios!D$20))</f>
        <v>1.8543677091335751</v>
      </c>
      <c r="P7" s="3">
        <f ca="1">N7*(M7*COS(Scenarios!D$75)-O7)</f>
        <v>1900.1199110269836</v>
      </c>
      <c r="Q7" s="3">
        <f t="shared" ca="1" si="2"/>
        <v>1302.3340634238227</v>
      </c>
      <c r="R7">
        <f ca="1">2/3*M7*COS(Scenarios!$D$75)</f>
        <v>1.8543677091335748</v>
      </c>
      <c r="S7" s="88">
        <v>3</v>
      </c>
      <c r="T7" s="3">
        <f ca="1">MIN(Performance!$C$45,4/18*(Scenarios!$D$68*COS(Performance!$C$44))^3/Performance!$C$46^2*rho*Scenarios!$D$20*(S7*MeanWindAngle!$M$26)^2)</f>
        <v>1867.7707777038636</v>
      </c>
      <c r="U7" s="13">
        <f ca="1">Performance!$C$46/(Scenarios!$D$68*COS(Performance!$C$44))^1.5*SQRT(T7/(0.5*rho*Scenarios!$D$20))</f>
        <v>1.8205094602153367</v>
      </c>
      <c r="V7" s="3">
        <f ca="1">T7*(S7*MeanWindAngle!M$26-U7)</f>
        <v>1700.1471851618203</v>
      </c>
      <c r="W7" s="3">
        <f t="shared" ca="1" si="3"/>
        <v>1165.2736120604363</v>
      </c>
      <c r="X7">
        <f ca="1">2/3*S7*MeanWindAngle!M$26</f>
        <v>1.8205094602153367</v>
      </c>
      <c r="Y7" s="88">
        <v>3</v>
      </c>
      <c r="Z7" s="3">
        <f ca="1">MIN(Performance!$C$45,4/18*(Scenarios!$D$68*COS(Performance!$C$44))^3/Performance!$C$46^2*rho*Scenarios!$D$20*(Y7*MeanWindAngle!$M$26)^2)</f>
        <v>1867.7707777038636</v>
      </c>
      <c r="AA7" s="14">
        <f ca="1">Performance!$C$46/(Scenarios!$D$68*COS(Performance!$C$44))^1.5*SQRT(Z7/(0.5*rho*Scenarios!$D$20))*MeanWindAngle!$P$28</f>
        <v>2.0251681821563219</v>
      </c>
      <c r="AB7" s="3">
        <f ca="1">Z7*(Y7*MeanWindAngle!M$26-AA7)</f>
        <v>1317.8916049182276</v>
      </c>
      <c r="AC7" s="3">
        <f t="shared" ca="1" si="4"/>
        <v>903.27727162105668</v>
      </c>
      <c r="AE7" s="88">
        <v>3</v>
      </c>
      <c r="AF7" s="3">
        <f ca="1">MIN(Performance!$C$45,4/18*(Scenarios!$D$68*COS(Performance!$C$44))^3/Performance!$C$46^2*rho*Scenarios!$D$20*(AE7*MeanWindAngle!$M$26)^2)</f>
        <v>1867.7707777038636</v>
      </c>
      <c r="AG7" s="14">
        <f ca="1">Performance!$C$46/(Scenarios!$D$68*COS(Performance!$C$44))^1.5*SQRT(AF7/(0.5*rho*Scenarios!$D$20))*MeanWindAngle!$P$28</f>
        <v>2.0251681821563219</v>
      </c>
      <c r="AH7" s="3">
        <f ca="1">AF7*(AE7*MeanWindAngle!$M$26-AG7)</f>
        <v>1317.8916049182276</v>
      </c>
      <c r="AI7" s="3">
        <f ca="1">MIN(AH7*Performance!AG86,P*1000)</f>
        <v>621.46654440045552</v>
      </c>
      <c r="AK7" s="88">
        <v>3</v>
      </c>
      <c r="AL7" s="3"/>
      <c r="AM7" s="14"/>
      <c r="AN7" s="3"/>
      <c r="AO7" s="3"/>
    </row>
    <row r="8" spans="1:41" x14ac:dyDescent="0.3">
      <c r="A8" s="88">
        <v>4</v>
      </c>
      <c r="B8" s="4">
        <f ca="1">MIN(Performance!$C$45,4/18*(Scenarios!$D$68*COS(Performance!$C$44))^3/Performance!$C$46^2*rho*Scenarios!$D$20*(A8*COS(Scenarios!$D$84))^2)</f>
        <v>3834.2810991130073</v>
      </c>
      <c r="C8" s="5">
        <f ca="1">Performance!C$46/(Scenarios!D$68*COS(Performance!C$44))^1.5*SQRT(B8/(0.5*rho*Scenarios!D$20))</f>
        <v>2.608393601956815</v>
      </c>
      <c r="D8" s="3">
        <f ca="1">B8*(A8*COS(Scenarios!D$84)-C8)</f>
        <v>5000.6571435151573</v>
      </c>
      <c r="E8" s="3">
        <f t="shared" ca="1" si="0"/>
        <v>3427.4290268257587</v>
      </c>
      <c r="F8">
        <f ca="1">2/3*M8*COS(Scenarios!$D$84)</f>
        <v>2.608393601956815</v>
      </c>
      <c r="G8" s="88">
        <v>4</v>
      </c>
      <c r="H8" s="4">
        <f ca="1">MIN(Performance!C$45,4/9*Scenarios!D$68^3/Performance!C$46^2*0.5*rho*Scenarios!D$20*G8^2)</f>
        <v>4237.9994954753674</v>
      </c>
      <c r="I8" s="2">
        <f ca="1">Performance!C$46/Scenarios!D$68^1.5*SQRT(H8/(0.5*rho*Scenarios!D$20))</f>
        <v>2.666666666666667</v>
      </c>
      <c r="J8" s="3">
        <f t="shared" ca="1" si="5"/>
        <v>5650.6659939671554</v>
      </c>
      <c r="K8" s="3">
        <f t="shared" ca="1" si="1"/>
        <v>3872.9423139388146</v>
      </c>
      <c r="M8" s="88">
        <v>4</v>
      </c>
      <c r="N8" s="4">
        <f ca="1">MIN(Performance!C$45,4/9*Scenarios!D$68^3/Performance!C$46^2*0.5*rho*Scenarios!D$20*(M8*COS(Scenarios!D$75))^2)</f>
        <v>3643.2806031929617</v>
      </c>
      <c r="O8" s="2">
        <f ca="1">(Performance!C$46/Scenarios!D$68^(3/2))*SQRT(N8/(0.5*rho*Scenarios!D$20))</f>
        <v>2.4724902788447669</v>
      </c>
      <c r="P8" s="3">
        <f ca="1">N8*(M8*COS(Scenarios!D$75)-O8)</f>
        <v>4503.9879372491459</v>
      </c>
      <c r="Q8" s="3">
        <f t="shared" ca="1" si="2"/>
        <v>3087.0140762638762</v>
      </c>
      <c r="R8">
        <f ca="1">2/3*M8*COS(Scenarios!$D$75)</f>
        <v>2.4724902788447665</v>
      </c>
      <c r="S8" s="88">
        <v>4</v>
      </c>
      <c r="T8" s="3">
        <f ca="1">MIN(Performance!$C$45,4/18*(Scenarios!$D$68*COS(Performance!$C$44))^3/Performance!$C$46^2*rho*Scenarios!$D$20*(S8*MeanWindAngle!$M$26)^2)</f>
        <v>3320.4813825846463</v>
      </c>
      <c r="U8" s="13">
        <f ca="1">Performance!$C$46/(Scenarios!$D$68*COS(Performance!$C$44))^1.5*SQRT(T8/(0.5*rho*Scenarios!$D$20))</f>
        <v>2.4273459469537819</v>
      </c>
      <c r="V8" s="3">
        <f ca="1">T8*(S8*MeanWindAngle!M$26-U8)</f>
        <v>4029.9785129761672</v>
      </c>
      <c r="W8" s="3">
        <f t="shared" ca="1" si="3"/>
        <v>2762.1300434025161</v>
      </c>
      <c r="X8">
        <f ca="1">2/3*S8*MeanWindAngle!M$26</f>
        <v>2.4273459469537819</v>
      </c>
      <c r="Y8" s="88">
        <v>4</v>
      </c>
      <c r="Z8" s="3">
        <f ca="1">MIN(Performance!$C$45,4/18*(Scenarios!$D$68*COS(Performance!$C$44))^3/Performance!$C$46^2*rho*Scenarios!$D$20*(Y8*MeanWindAngle!$M$26)^2)</f>
        <v>3320.4813825846463</v>
      </c>
      <c r="AA8" s="14">
        <f ca="1">Performance!$C$46/(Scenarios!$D$68*COS(Performance!$C$44))^1.5*SQRT(Z8/(0.5*rho*Scenarios!$D$20))*MeanWindAngle!$P$28</f>
        <v>2.7002242428750955</v>
      </c>
      <c r="AB8" s="3">
        <f ca="1">Z8*(Y8*MeanWindAngle!M$26-AA8)</f>
        <v>3123.8912116580213</v>
      </c>
      <c r="AC8" s="3">
        <f t="shared" ca="1" si="4"/>
        <v>2141.1016808795421</v>
      </c>
      <c r="AE8" s="88">
        <v>4</v>
      </c>
      <c r="AF8" s="3">
        <f ca="1">MIN(Performance!$C$45,4/18*(Scenarios!$D$68*COS(Performance!$C$44))^3/Performance!$C$46^2*rho*Scenarios!$D$20*(AE8*MeanWindAngle!$M$26)^2)</f>
        <v>3320.4813825846463</v>
      </c>
      <c r="AG8" s="14">
        <f ca="1">Performance!$C$46/(Scenarios!$D$68*COS(Performance!$C$44))^1.5*SQRT(AF8/(0.5*rho*Scenarios!$D$20))*MeanWindAngle!$P$28</f>
        <v>2.7002242428750955</v>
      </c>
      <c r="AH8" s="3">
        <f ca="1">AF8*(AE8*MeanWindAngle!$M$26-AG8)</f>
        <v>3123.8912116580213</v>
      </c>
      <c r="AI8" s="3">
        <f ca="1">MIN(AH8*Performance!AG87,P*1000)</f>
        <v>2119.8708670767555</v>
      </c>
      <c r="AK8" s="88">
        <v>4</v>
      </c>
      <c r="AL8" s="3"/>
      <c r="AM8" s="14"/>
      <c r="AN8" s="3"/>
      <c r="AO8" s="3"/>
    </row>
    <row r="9" spans="1:41" x14ac:dyDescent="0.3">
      <c r="A9" s="88">
        <v>5</v>
      </c>
      <c r="B9" s="4">
        <f ca="1">MIN(Performance!$C$45,4/18*(Scenarios!$D$68*COS(Performance!$C$44))^3/Performance!$C$46^2*rho*Scenarios!$D$20*(A9*COS(Scenarios!$D$84))^2)</f>
        <v>5991.0642173640736</v>
      </c>
      <c r="C9" s="5">
        <f ca="1">Performance!C$46/(Scenarios!D$68*COS(Performance!C$44))^1.5*SQRT(B9/(0.5*rho*Scenarios!D$20))</f>
        <v>3.2604920024460187</v>
      </c>
      <c r="D9" s="3">
        <f ca="1">B9*(A9*COS(Scenarios!D$84)-C9)</f>
        <v>9766.908483428042</v>
      </c>
      <c r="E9" s="3">
        <f t="shared" ca="1" si="0"/>
        <v>6694.1973180190598</v>
      </c>
      <c r="F9">
        <f ca="1">2/3*M9*COS(Scenarios!$D$84)</f>
        <v>3.2604920024460187</v>
      </c>
      <c r="G9" s="88">
        <v>5</v>
      </c>
      <c r="H9" s="4">
        <f ca="1">MIN(Performance!C$45,4/9*Scenarios!D$68^3/Performance!C$46^2*0.5*rho*Scenarios!D$20*G9^2)</f>
        <v>6621.8742116802614</v>
      </c>
      <c r="I9" s="2">
        <f ca="1">Performance!C$46/Scenarios!D$68^1.5*SQRT(H9/(0.5*rho*Scenarios!D$20))</f>
        <v>3.3333333333333335</v>
      </c>
      <c r="J9" s="3">
        <f t="shared" ca="1" si="5"/>
        <v>11036.457019467101</v>
      </c>
      <c r="K9" s="3">
        <f t="shared" ca="1" si="1"/>
        <v>7564.3404569117483</v>
      </c>
      <c r="M9" s="88">
        <v>5</v>
      </c>
      <c r="N9" s="4">
        <f ca="1">MIN(Performance!C$45,4/9*Scenarios!D$68^3/Performance!C$46^2*0.5*rho*Scenarios!D$20*(M9*COS(Scenarios!D$75))^2)</f>
        <v>5692.6259424890022</v>
      </c>
      <c r="O9" s="2">
        <f ca="1">(Performance!C$46/Scenarios!D$68^(3/2))*SQRT(N9/(0.5*rho*Scenarios!D$20))</f>
        <v>3.0906128485559585</v>
      </c>
      <c r="P9" s="3">
        <f ca="1">N9*(M9*COS(Scenarios!D$75)-O9)</f>
        <v>8796.8514399397372</v>
      </c>
      <c r="Q9" s="3">
        <f t="shared" ca="1" si="2"/>
        <v>6029.3243677028822</v>
      </c>
      <c r="R9">
        <f ca="1">2/3*M9*COS(Scenarios!$D$75)</f>
        <v>3.0906128485559576</v>
      </c>
      <c r="S9" s="88">
        <v>5</v>
      </c>
      <c r="T9" s="3">
        <f ca="1">MIN(Performance!$C$45,4/18*(Scenarios!$D$68*COS(Performance!$C$44))^3/Performance!$C$46^2*rho*Scenarios!$D$20*(S9*MeanWindAngle!$M$26)^2)</f>
        <v>5188.2521602885099</v>
      </c>
      <c r="U9" s="13">
        <f ca="1">Performance!$C$46/(Scenarios!$D$68*COS(Performance!$C$44))^1.5*SQRT(T9/(0.5*rho*Scenarios!$D$20))</f>
        <v>3.0341824336922274</v>
      </c>
      <c r="V9" s="3">
        <f ca="1">T9*(S9*MeanWindAngle!M$26-U9)</f>
        <v>7871.0517831565758</v>
      </c>
      <c r="W9" s="3">
        <f t="shared" ca="1" si="3"/>
        <v>5394.7852410205387</v>
      </c>
      <c r="X9">
        <f ca="1">2/3*S9*MeanWindAngle!M$26</f>
        <v>3.0341824336922274</v>
      </c>
      <c r="Y9" s="88">
        <v>5</v>
      </c>
      <c r="Z9" s="3">
        <f ca="1">MIN(Performance!$C$45,4/18*(Scenarios!$D$68*COS(Performance!$C$44))^3/Performance!$C$46^2*rho*Scenarios!$D$20*(Y9*MeanWindAngle!$M$26)^2)</f>
        <v>5188.2521602885099</v>
      </c>
      <c r="AA9" s="14">
        <f ca="1">Performance!$C$46/(Scenarios!$D$68*COS(Performance!$C$44))^1.5*SQRT(Z9/(0.5*rho*Scenarios!$D$20))*MeanWindAngle!$P$28</f>
        <v>3.3752803035938692</v>
      </c>
      <c r="AB9" s="3">
        <f ca="1">Z9*(Y9*MeanWindAngle!M$26-AA9)</f>
        <v>6101.350022769574</v>
      </c>
      <c r="AC9" s="3">
        <f t="shared" ca="1" si="4"/>
        <v>4181.8392204678557</v>
      </c>
      <c r="AE9" s="88">
        <v>5</v>
      </c>
      <c r="AF9" s="3">
        <f ca="1">MIN(Performance!$C$45,4/18*(Scenarios!$D$68*COS(Performance!$C$44))^3/Performance!$C$46^2*rho*Scenarios!$D$20*(AE9*MeanWindAngle!$M$26)^2)</f>
        <v>5188.2521602885099</v>
      </c>
      <c r="AG9" s="14">
        <f ca="1">Performance!$C$46/(Scenarios!$D$68*COS(Performance!$C$44))^1.5*SQRT(AF9/(0.5*rho*Scenarios!$D$20))*MeanWindAngle!$P$28</f>
        <v>3.3752803035938692</v>
      </c>
      <c r="AH9" s="3">
        <f ca="1">AF9*(AE9*MeanWindAngle!$M$26-AG9)</f>
        <v>6101.350022769574</v>
      </c>
      <c r="AI9" s="3">
        <f ca="1">MIN(AH9*Performance!AG88,P*1000)</f>
        <v>4641.7769019866655</v>
      </c>
      <c r="AK9" s="88">
        <v>5</v>
      </c>
      <c r="AL9" s="3"/>
      <c r="AM9" s="14"/>
      <c r="AN9" s="3"/>
      <c r="AO9" s="3"/>
    </row>
    <row r="10" spans="1:41" x14ac:dyDescent="0.3">
      <c r="A10" s="88">
        <v>6</v>
      </c>
      <c r="B10" s="4">
        <f ca="1">MIN(Performance!$C$45,4/18*(Scenarios!$D$68*COS(Performance!$C$44))^3/Performance!$C$46^2*rho*Scenarios!$D$20*(A10*COS(Scenarios!$D$84))^2)</f>
        <v>8627.1324730042652</v>
      </c>
      <c r="C10" s="5">
        <f ca="1">Performance!C$46/(Scenarios!D$68*COS(Performance!C$44))^1.5*SQRT(B10/(0.5*rho*Scenarios!D$20))</f>
        <v>3.9125904029352223</v>
      </c>
      <c r="D10" s="3">
        <f ca="1">B10*(A10*COS(Scenarios!D$84)-C10)</f>
        <v>16877.217859363656</v>
      </c>
      <c r="E10" s="3">
        <f t="shared" ca="1" si="0"/>
        <v>11567.572965536936</v>
      </c>
      <c r="F10">
        <f ca="1">2/3*M10*COS(Scenarios!$D$84)</f>
        <v>3.9125904029352228</v>
      </c>
      <c r="G10" s="88">
        <v>6</v>
      </c>
      <c r="H10" s="4">
        <f ca="1">MIN(Performance!C$45,4/9*Scenarios!D$68^3/Performance!C$46^2*0.5*rho*Scenarios!D$20*G10^2)</f>
        <v>9535.4988648195758</v>
      </c>
      <c r="I10" s="2">
        <f ca="1">Performance!C$46/Scenarios!D$68^1.5*SQRT(H10/(0.5*rho*Scenarios!D$20))</f>
        <v>4.0000000000000009</v>
      </c>
      <c r="J10" s="3">
        <f t="shared" ca="1" si="5"/>
        <v>19070.997729639144</v>
      </c>
      <c r="K10" s="3">
        <f t="shared" ca="1" si="1"/>
        <v>13071.180309543495</v>
      </c>
      <c r="M10" s="88">
        <v>6</v>
      </c>
      <c r="N10" s="4">
        <f ca="1">MIN(Performance!C$45,4/9*Scenarios!D$68^3/Performance!C$46^2*0.5*rho*Scenarios!D$20*(M10*COS(Scenarios!D$75))^2)</f>
        <v>8197.3813571841638</v>
      </c>
      <c r="O10" s="2">
        <f ca="1">(Performance!C$46/Scenarios!D$68^(3/2))*SQRT(N10/(0.5*rho*Scenarios!D$20))</f>
        <v>3.7087354182671501</v>
      </c>
      <c r="P10" s="3">
        <f ca="1">N10*(M10*COS(Scenarios!D$75)-O10)</f>
        <v>15200.959288215869</v>
      </c>
      <c r="Q10" s="3">
        <f t="shared" ca="1" si="2"/>
        <v>10418.672507390582</v>
      </c>
      <c r="R10">
        <f ca="1">2/3*M10*COS(Scenarios!$D$75)</f>
        <v>3.7087354182671497</v>
      </c>
      <c r="S10" s="88">
        <v>6</v>
      </c>
      <c r="T10" s="3">
        <f ca="1">MIN(Performance!$C$45,4/18*(Scenarios!$D$68*COS(Performance!$C$44))^3/Performance!$C$46^2*rho*Scenarios!$D$20*(S10*MeanWindAngle!$M$26)^2)</f>
        <v>7471.0831108154543</v>
      </c>
      <c r="U10" s="13">
        <f ca="1">Performance!$C$46/(Scenarios!$D$68*COS(Performance!$C$44))^1.5*SQRT(T10/(0.5*rho*Scenarios!$D$20))</f>
        <v>3.6410189204306733</v>
      </c>
      <c r="V10" s="3">
        <f ca="1">T10*(S10*MeanWindAngle!M$26-U10)</f>
        <v>13601.177481294562</v>
      </c>
      <c r="W10" s="3">
        <f t="shared" ca="1" si="3"/>
        <v>9322.1888964834907</v>
      </c>
      <c r="X10">
        <f ca="1">2/3*S10*MeanWindAngle!M$26</f>
        <v>3.6410189204306733</v>
      </c>
      <c r="Y10" s="88">
        <v>6</v>
      </c>
      <c r="Z10" s="3">
        <f ca="1">MIN(Performance!$C$45,4/18*(Scenarios!$D$68*COS(Performance!$C$44))^3/Performance!$C$46^2*rho*Scenarios!$D$20*(Y10*MeanWindAngle!$M$26)^2)</f>
        <v>7471.0831108154543</v>
      </c>
      <c r="AA10" s="14">
        <f ca="1">Performance!$C$46/(Scenarios!$D$68*COS(Performance!$C$44))^1.5*SQRT(Z10/(0.5*rho*Scenarios!$D$20))*MeanWindAngle!$P$28</f>
        <v>4.0503363643126438</v>
      </c>
      <c r="AB10" s="3">
        <f ca="1">Z10*(Y10*MeanWindAngle!M$26-AA10)</f>
        <v>10543.132839345821</v>
      </c>
      <c r="AC10" s="3">
        <f ca="1">MIN(AB10*$C$1,P*1000)</f>
        <v>7226.2181729684535</v>
      </c>
      <c r="AE10" s="88">
        <v>6</v>
      </c>
      <c r="AF10" s="3">
        <f ca="1">MIN(Performance!$C$45,4/18*(Scenarios!$D$68*COS(Performance!$C$44))^3/Performance!$C$46^2*rho*Scenarios!$D$20*(AE10*MeanWindAngle!$M$26)^2)</f>
        <v>7471.0831108154543</v>
      </c>
      <c r="AG10" s="14">
        <f ca="1">Performance!$C$46/(Scenarios!$D$68*COS(Performance!$C$44))^1.5*SQRT(AF10/(0.5*rho*Scenarios!$D$20))*MeanWindAngle!$P$28</f>
        <v>4.0503363643126438</v>
      </c>
      <c r="AH10" s="3">
        <f ca="1">AF10*(AE10*MeanWindAngle!$M$26-AG10)</f>
        <v>10543.132839345821</v>
      </c>
      <c r="AI10" s="3">
        <f ca="1">MIN(AH10*Performance!AG89,P*1000)</f>
        <v>8430.189652471694</v>
      </c>
      <c r="AK10" s="88">
        <v>6</v>
      </c>
      <c r="AL10" s="3"/>
      <c r="AM10" s="14"/>
      <c r="AN10" s="3"/>
      <c r="AO10" s="3"/>
    </row>
    <row r="11" spans="1:41" x14ac:dyDescent="0.3">
      <c r="A11" s="88">
        <v>7</v>
      </c>
      <c r="B11" s="4">
        <f ca="1">MIN(Performance!$C$45,4/18*(Scenarios!$D$68*COS(Performance!$C$44))^3/Performance!$C$46^2*rho*Scenarios!$D$20*(A11*COS(Scenarios!$D$84))^2)</f>
        <v>11742.485866033583</v>
      </c>
      <c r="C11" s="5">
        <f ca="1">Performance!C$46/(Scenarios!D$68*COS(Performance!C$44))^1.5*SQRT(B11/(0.5*rho*Scenarios!D$20))</f>
        <v>4.5646888034244268</v>
      </c>
      <c r="D11" s="3">
        <f ca="1">B11*(A11*COS(Scenarios!D$84)-C11)</f>
        <v>26800.396878526535</v>
      </c>
      <c r="E11" s="3">
        <f t="shared" ca="1" si="0"/>
        <v>18368.877440644294</v>
      </c>
      <c r="F11">
        <f ca="1">2/3*M11*COS(Scenarios!$D$84)</f>
        <v>4.564688803424426</v>
      </c>
      <c r="G11" s="88">
        <v>7</v>
      </c>
      <c r="H11" s="4">
        <f ca="1">MIN(Performance!C$45,4/9*Scenarios!D$68^3/Performance!C$46^2*0.5*rho*Scenarios!D$20*G11^2)</f>
        <v>12978.873454893313</v>
      </c>
      <c r="I11" s="2">
        <f ca="1">Performance!C$46/Scenarios!D$68^1.5*SQRT(H11/(0.5*rho*Scenarios!D$20))</f>
        <v>4.666666666666667</v>
      </c>
      <c r="J11" s="3">
        <f t="shared" ca="1" si="5"/>
        <v>30284.038061417727</v>
      </c>
      <c r="K11" s="3">
        <f t="shared" ca="1" si="1"/>
        <v>20756.550213765837</v>
      </c>
      <c r="M11" s="88">
        <v>7</v>
      </c>
      <c r="N11" s="4">
        <f ca="1">MIN(Performance!C$45,4/9*Scenarios!D$68^3/Performance!C$46^2*0.5*rho*Scenarios!D$20*(M11*COS(Scenarios!D$75))^2)</f>
        <v>11157.546847278445</v>
      </c>
      <c r="O11" s="2">
        <f ca="1">(Performance!C$46/Scenarios!D$68^(3/2))*SQRT(N11/(0.5*rho*Scenarios!D$20))</f>
        <v>4.3268579879783413</v>
      </c>
      <c r="P11" s="3">
        <f ca="1">N11*(M11*COS(Scenarios!D$75)-O11)</f>
        <v>24138.56035119465</v>
      </c>
      <c r="Q11" s="3">
        <f t="shared" ca="1" si="2"/>
        <v>16544.466064976717</v>
      </c>
      <c r="R11">
        <f ca="1">2/3*M11*COS(Scenarios!$D$75)</f>
        <v>4.3268579879783404</v>
      </c>
      <c r="S11" s="88">
        <v>7</v>
      </c>
      <c r="T11" s="3">
        <f ca="1">MIN(Performance!$C$45,4/18*(Scenarios!$D$68*COS(Performance!$C$44))^3/Performance!$C$46^2*rho*Scenarios!$D$20*(S11*MeanWindAngle!$M$26)^2)</f>
        <v>10168.974234165476</v>
      </c>
      <c r="U11" s="13">
        <f ca="1">Performance!$C$46/(Scenarios!$D$68*COS(Performance!$C$44))^1.5*SQRT(T11/(0.5*rho*Scenarios!$D$20))</f>
        <v>4.2478554071691184</v>
      </c>
      <c r="V11" s="3">
        <f ca="1">T11*(S11*MeanWindAngle!M$26-U11)</f>
        <v>21598.166092981635</v>
      </c>
      <c r="W11" s="3">
        <f t="shared" ca="1" si="3"/>
        <v>14803.290701360351</v>
      </c>
      <c r="X11">
        <f ca="1">2/3*S11*MeanWindAngle!M$26</f>
        <v>4.2478554071691184</v>
      </c>
      <c r="Y11" s="88">
        <v>7</v>
      </c>
      <c r="Z11" s="3">
        <f ca="1">MIN(Performance!$C$45,4/18*(Scenarios!$D$68*COS(Performance!$C$44))^3/Performance!$C$46^2*rho*Scenarios!$D$20*(Y11*MeanWindAngle!$M$26)^2)</f>
        <v>10168.974234165476</v>
      </c>
      <c r="AA11" s="14">
        <f ca="1">Performance!$C$46/(Scenarios!$D$68*COS(Performance!$C$44))^1.5*SQRT(Z11/(0.5*rho*Scenarios!$D$20))*MeanWindAngle!$P$28</f>
        <v>4.7253924250314174</v>
      </c>
      <c r="AB11" s="3">
        <f ca="1">Z11*(Y11*MeanWindAngle!M$26-AA11)</f>
        <v>16742.1044624797</v>
      </c>
      <c r="AC11" s="3">
        <f t="shared" ca="1" si="4"/>
        <v>11474.966820963789</v>
      </c>
      <c r="AE11" s="88">
        <v>7</v>
      </c>
      <c r="AF11" s="3">
        <f ca="1">MIN(Performance!$C$45,4/18*(Scenarios!$D$68*COS(Performance!$C$44))^3/Performance!$C$46^2*rho*Scenarios!$D$20*(AE11*MeanWindAngle!$M$26)^2)</f>
        <v>10168.974234165476</v>
      </c>
      <c r="AG11" s="14">
        <f ca="1">Performance!$C$46/(Scenarios!$D$68*COS(Performance!$C$44))^1.5*SQRT(AF11/(0.5*rho*Scenarios!$D$20))*MeanWindAngle!$P$28</f>
        <v>4.7253924250314174</v>
      </c>
      <c r="AH11" s="3">
        <f ca="1">AF11*(AE11*MeanWindAngle!$M$26-AG11)</f>
        <v>16742.1044624797</v>
      </c>
      <c r="AI11" s="3">
        <f ca="1">MIN(AH11*Performance!AG90,P*1000)</f>
        <v>13704.523514238221</v>
      </c>
      <c r="AK11" s="88">
        <v>7</v>
      </c>
      <c r="AL11" s="3"/>
      <c r="AM11" s="14"/>
      <c r="AN11" s="3"/>
      <c r="AO11" s="3"/>
    </row>
    <row r="12" spans="1:41" x14ac:dyDescent="0.3">
      <c r="A12" s="88">
        <v>8</v>
      </c>
      <c r="B12" s="4">
        <f ca="1">MIN(Performance!$C$45,4/18*(Scenarios!$D$68*COS(Performance!$C$44))^3/Performance!$C$46^2*rho*Scenarios!$D$20*(A12*COS(Scenarios!$D$84))^2)</f>
        <v>15337.124396452029</v>
      </c>
      <c r="C12" s="5">
        <f ca="1">Performance!C$46/(Scenarios!D$68*COS(Performance!C$44))^1.5*SQRT(B12/(0.5*rho*Scenarios!D$20))</f>
        <v>5.21678720391363</v>
      </c>
      <c r="D12" s="3">
        <f ca="1">B12*(A12*COS(Scenarios!D$84)-C12)</f>
        <v>40005.257148121258</v>
      </c>
      <c r="E12" s="3">
        <f t="shared" ca="1" si="0"/>
        <v>27419.432214606069</v>
      </c>
      <c r="F12">
        <f ca="1">2/3*M12*COS(Scenarios!$D$84)</f>
        <v>5.21678720391363</v>
      </c>
      <c r="G12" s="88">
        <v>8</v>
      </c>
      <c r="H12" s="4">
        <f ca="1">MIN(Performance!C$45,4/9*Scenarios!D$68^3/Performance!C$46^2*0.5*rho*Scenarios!D$20*G12^2)</f>
        <v>16951.99798190147</v>
      </c>
      <c r="I12" s="2">
        <f ca="1">Performance!C$46/Scenarios!D$68^1.5*SQRT(H12/(0.5*rho*Scenarios!D$20))</f>
        <v>5.3333333333333339</v>
      </c>
      <c r="J12" s="3">
        <f t="shared" ca="1" si="5"/>
        <v>45205.327951737243</v>
      </c>
      <c r="K12" s="3">
        <f t="shared" ca="1" si="1"/>
        <v>30983.538511510516</v>
      </c>
      <c r="M12" s="88">
        <v>8</v>
      </c>
      <c r="N12" s="4">
        <f ca="1">MIN(Performance!C$45,4/9*Scenarios!D$68^3/Performance!C$46^2*0.5*rho*Scenarios!D$20*(M12*COS(Scenarios!D$75))^2)</f>
        <v>14573.122412771847</v>
      </c>
      <c r="O12" s="2">
        <f ca="1">(Performance!C$46/Scenarios!D$68^(3/2))*SQRT(N12/(0.5*rho*Scenarios!D$20))</f>
        <v>4.9449805576895338</v>
      </c>
      <c r="P12" s="3">
        <f ca="1">N12*(M12*COS(Scenarios!D$75)-O12)</f>
        <v>36031.903497993168</v>
      </c>
      <c r="Q12" s="3">
        <f t="shared" ca="1" si="2"/>
        <v>24696.112610111009</v>
      </c>
      <c r="R12">
        <f ca="1">2/3*M12*COS(Scenarios!$D$75)</f>
        <v>4.9449805576895329</v>
      </c>
      <c r="S12" s="88">
        <v>8</v>
      </c>
      <c r="T12" s="3">
        <f ca="1">MIN(Performance!$C$45,4/18*(Scenarios!$D$68*COS(Performance!$C$44))^3/Performance!$C$46^2*rho*Scenarios!$D$20*(S12*MeanWindAngle!$M$26)^2)</f>
        <v>13281.925530338585</v>
      </c>
      <c r="U12" s="13">
        <f ca="1">Performance!$C$46/(Scenarios!$D$68*COS(Performance!$C$44))^1.5*SQRT(T12/(0.5*rho*Scenarios!$D$20))</f>
        <v>4.8546918939075638</v>
      </c>
      <c r="V12" s="3">
        <f ca="1">T12*(S12*MeanWindAngle!M$26-U12)</f>
        <v>32239.828103809337</v>
      </c>
      <c r="W12" s="3">
        <f t="shared" ca="1" si="3"/>
        <v>22097.040347220129</v>
      </c>
      <c r="X12">
        <f ca="1">2/3*S12*MeanWindAngle!M$26</f>
        <v>4.8546918939075638</v>
      </c>
      <c r="Y12" s="88">
        <v>8</v>
      </c>
      <c r="Z12" s="3">
        <f ca="1">MIN(Performance!$C$45,4/18*(Scenarios!$D$68*COS(Performance!$C$44))^3/Performance!$C$46^2*rho*Scenarios!$D$20*(Y12*MeanWindAngle!$M$26)^2)</f>
        <v>13281.925530338585</v>
      </c>
      <c r="AA12" s="14">
        <f ca="1">Performance!$C$46/(Scenarios!$D$68*COS(Performance!$C$44))^1.5*SQRT(Z12/(0.5*rho*Scenarios!$D$20))*MeanWindAngle!$P$28</f>
        <v>5.4004484857501911</v>
      </c>
      <c r="AB12" s="3">
        <f ca="1">Z12*(Y12*MeanWindAngle!M$26-AA12)</f>
        <v>24991.129693264171</v>
      </c>
      <c r="AC12" s="3">
        <f t="shared" ca="1" si="4"/>
        <v>17128.813447036337</v>
      </c>
      <c r="AE12" s="88">
        <v>8</v>
      </c>
      <c r="AF12" s="3">
        <f ca="1">MIN(Performance!$C$45,4/18*(Scenarios!$D$68*COS(Performance!$C$44))^3/Performance!$C$46^2*rho*Scenarios!$D$20*(AE12*MeanWindAngle!$M$26)^2)</f>
        <v>13281.925530338585</v>
      </c>
      <c r="AG12" s="14">
        <f ca="1">Performance!$C$46/(Scenarios!$D$68*COS(Performance!$C$44))^1.5*SQRT(AF12/(0.5*rho*Scenarios!$D$20))*MeanWindAngle!$P$28</f>
        <v>5.4004484857501911</v>
      </c>
      <c r="AH12" s="3">
        <f ca="1">AF12*(AE12*MeanWindAngle!$M$26-AG12)</f>
        <v>24991.129693264171</v>
      </c>
      <c r="AI12" s="3">
        <f ca="1">MIN(AH12*Performance!AG91,P*1000)</f>
        <v>20653.768778114289</v>
      </c>
      <c r="AK12" s="88">
        <v>8</v>
      </c>
      <c r="AL12" s="3"/>
      <c r="AM12" s="14"/>
      <c r="AN12" s="3"/>
      <c r="AO12" s="3"/>
    </row>
    <row r="13" spans="1:41" x14ac:dyDescent="0.3">
      <c r="A13" s="88">
        <v>9</v>
      </c>
      <c r="B13" s="4">
        <f ca="1">MIN(Performance!$C$45,4/18*(Scenarios!$D$68*COS(Performance!$C$44))^3/Performance!$C$46^2*rho*Scenarios!$D$20*(A13*COS(Scenarios!$D$84))^2)</f>
        <v>19411.048064259598</v>
      </c>
      <c r="C13" s="5">
        <f ca="1">Performance!C$46/(Scenarios!D$68*COS(Performance!C$44))^1.5*SQRT(B13/(0.5*rho*Scenarios!D$20))</f>
        <v>5.8688856044028332</v>
      </c>
      <c r="D13" s="3">
        <f ca="1">B13*(A13*COS(Scenarios!D$84)-C13)</f>
        <v>56960.610275352345</v>
      </c>
      <c r="E13" s="3">
        <f t="shared" ca="1" si="0"/>
        <v>39040.558758687162</v>
      </c>
      <c r="F13">
        <f ca="1">2/3*M13*COS(Scenarios!$D$84)</f>
        <v>5.8688856044028341</v>
      </c>
      <c r="G13" s="88">
        <v>9</v>
      </c>
      <c r="H13" s="4">
        <f ca="1">MIN(Performance!C$45,4/9*Scenarios!D$68^3/Performance!C$46^2*0.5*rho*Scenarios!D$20*G13^2)</f>
        <v>21454.872445844048</v>
      </c>
      <c r="I13" s="2">
        <f ca="1">Performance!C$46/Scenarios!D$68^1.5*SQRT(H13/(0.5*rho*Scenarios!D$20))</f>
        <v>6.0000000000000009</v>
      </c>
      <c r="J13" s="3">
        <f t="shared" ca="1" si="5"/>
        <v>64364.617337532123</v>
      </c>
      <c r="K13" s="3">
        <f t="shared" ca="1" si="1"/>
        <v>44115.233544709306</v>
      </c>
      <c r="M13" s="88">
        <v>9</v>
      </c>
      <c r="N13" s="4">
        <f ca="1">MIN(Performance!C$45,4/9*Scenarios!D$68^3/Performance!C$46^2*0.5*rho*Scenarios!D$20*(M13*COS(Scenarios!D$75))^2)</f>
        <v>18444.108053664371</v>
      </c>
      <c r="O13" s="2">
        <f ca="1">(Performance!C$46/Scenarios!D$68^(3/2))*SQRT(N13/(0.5*rho*Scenarios!D$20))</f>
        <v>5.5631031274007254</v>
      </c>
      <c r="P13" s="3">
        <f ca="1">N13*(M13*COS(Scenarios!D$75)-O13)</f>
        <v>51303.237597728577</v>
      </c>
      <c r="Q13" s="3">
        <f t="shared" ca="1" si="2"/>
        <v>35163.019712443231</v>
      </c>
      <c r="R13">
        <f ca="1">2/3*M13*COS(Scenarios!$D$75)</f>
        <v>5.5631031274007245</v>
      </c>
      <c r="S13" s="88">
        <v>9</v>
      </c>
      <c r="T13" s="3">
        <f ca="1">MIN(Performance!$C$45,4/18*(Scenarios!$D$68*COS(Performance!$C$44))^3/Performance!$C$46^2*rho*Scenarios!$D$20*(S13*MeanWindAngle!$M$26)^2)</f>
        <v>16809.936999334768</v>
      </c>
      <c r="U13" s="13">
        <f ca="1">Performance!$C$46/(Scenarios!$D$68*COS(Performance!$C$44))^1.5*SQRT(T13/(0.5*rho*Scenarios!$D$20))</f>
        <v>5.4615283806460093</v>
      </c>
      <c r="V13" s="3">
        <f ca="1">T13*(S13*MeanWindAngle!M$26-U13)</f>
        <v>45903.973999369133</v>
      </c>
      <c r="W13" s="3">
        <f t="shared" ca="1" si="3"/>
        <v>31462.38752563177</v>
      </c>
      <c r="X13">
        <f ca="1">2/3*S13*MeanWindAngle!M$26</f>
        <v>5.4615283806460102</v>
      </c>
      <c r="Y13" s="88">
        <v>9</v>
      </c>
      <c r="Z13" s="3">
        <f ca="1">MIN(Performance!$C$45,4/18*(Scenarios!$D$68*COS(Performance!$C$44))^3/Performance!$C$46^2*rho*Scenarios!$D$20*(Y13*MeanWindAngle!$M$26)^2)</f>
        <v>16809.936999334768</v>
      </c>
      <c r="AA13" s="14">
        <f ca="1">Performance!$C$46/(Scenarios!$D$68*COS(Performance!$C$44))^1.5*SQRT(Z13/(0.5*rho*Scenarios!$D$20))*MeanWindAngle!$P$28</f>
        <v>6.0755045464689648</v>
      </c>
      <c r="AB13" s="3">
        <f ca="1">Z13*(Y13*MeanWindAngle!M$26-AA13)</f>
        <v>35583.073332792133</v>
      </c>
      <c r="AC13" s="3">
        <f t="shared" ca="1" si="4"/>
        <v>24388.486333768524</v>
      </c>
      <c r="AE13" s="88">
        <v>9</v>
      </c>
      <c r="AF13" s="3">
        <f ca="1">MIN(Performance!$C$45,4/18*(Scenarios!$D$68*COS(Performance!$C$44))^3/Performance!$C$46^2*rho*Scenarios!$D$20*(AE13*MeanWindAngle!$M$26)^2)</f>
        <v>16809.936999334768</v>
      </c>
      <c r="AG13" s="14">
        <f ca="1">Performance!$C$46/(Scenarios!$D$68*COS(Performance!$C$44))^1.5*SQRT(AF13/(0.5*rho*Scenarios!$D$20))*MeanWindAngle!$P$28</f>
        <v>6.0755045464689648</v>
      </c>
      <c r="AH13" s="3">
        <f ca="1">AF13*(AE13*MeanWindAngle!$M$26-AG13)</f>
        <v>35583.073332792133</v>
      </c>
      <c r="AI13" s="3">
        <f ca="1">MIN(AH13*Performance!AG92,P*1000)</f>
        <v>29469.823389918442</v>
      </c>
      <c r="AK13" s="88">
        <v>9</v>
      </c>
      <c r="AL13" s="3"/>
      <c r="AM13" s="14"/>
      <c r="AN13" s="3"/>
      <c r="AO13" s="3"/>
    </row>
    <row r="14" spans="1:41" x14ac:dyDescent="0.3">
      <c r="A14" s="88">
        <v>10</v>
      </c>
      <c r="B14" s="4">
        <f ca="1">MIN(Performance!$C$45,4/18*(Scenarios!$D$68*COS(Performance!$C$44))^3/Performance!$C$46^2*rho*Scenarios!$D$20*(A14*COS(Scenarios!$D$84))^2)</f>
        <v>23964.256869456294</v>
      </c>
      <c r="C14" s="5">
        <f ca="1">Performance!C$46/(Scenarios!D$68*COS(Performance!C$44))^1.5*SQRT(B14/(0.5*rho*Scenarios!D$20))</f>
        <v>6.5209840048920373</v>
      </c>
      <c r="D14" s="3">
        <f ca="1">B14*(A14*COS(Scenarios!D$84)-C14)</f>
        <v>78135.267867424336</v>
      </c>
      <c r="E14" s="3">
        <f t="shared" ca="1" si="0"/>
        <v>53553.578544152479</v>
      </c>
      <c r="F14">
        <f ca="1">2/3*M14*COS(Scenarios!$D$84)</f>
        <v>6.5209840048920373</v>
      </c>
      <c r="G14" s="88">
        <v>10</v>
      </c>
      <c r="H14" s="4">
        <f ca="1">MIN(Performance!C$45,4/9*Scenarios!D$68^3/Performance!C$46^2*0.5*rho*Scenarios!D$20*G14^2)</f>
        <v>26487.496846721046</v>
      </c>
      <c r="I14" s="2">
        <f ca="1">Performance!C$46/Scenarios!D$68^1.5*SQRT(H14/(0.5*rho*Scenarios!D$20))</f>
        <v>6.666666666666667</v>
      </c>
      <c r="J14" s="3">
        <f t="shared" ca="1" si="5"/>
        <v>88291.656155736811</v>
      </c>
      <c r="K14" s="3">
        <f t="shared" ca="1" si="1"/>
        <v>60514.723655293987</v>
      </c>
      <c r="M14" s="88">
        <v>10</v>
      </c>
      <c r="N14" s="4">
        <f ca="1">MIN(Performance!C$45,4/9*Scenarios!D$68^3/Performance!C$46^2*0.5*rho*Scenarios!D$20*(M14*COS(Scenarios!D$75))^2)</f>
        <v>22770.503769956009</v>
      </c>
      <c r="O14" s="2">
        <f ca="1">(Performance!C$46/Scenarios!D$68^(3/2))*SQRT(N14/(0.5*rho*Scenarios!D$20))</f>
        <v>6.1812256971119171</v>
      </c>
      <c r="P14" s="3">
        <f ca="1">N14*(M14*COS(Scenarios!D$75)-O14)</f>
        <v>70374.811519517898</v>
      </c>
      <c r="Q14" s="3">
        <f t="shared" ca="1" si="2"/>
        <v>48234.594941623058</v>
      </c>
      <c r="R14">
        <f ca="1">2/3*M14*COS(Scenarios!$D$75)</f>
        <v>6.1812256971119153</v>
      </c>
      <c r="S14" s="88">
        <v>10</v>
      </c>
      <c r="T14" s="3">
        <f ca="1">MIN(Performance!$C$45,4/18*(Scenarios!$D$68*COS(Performance!$C$44))^3/Performance!$C$46^2*rho*Scenarios!$D$20*(S14*MeanWindAngle!$M$26)^2)</f>
        <v>20753.00864115404</v>
      </c>
      <c r="U14" s="13">
        <f ca="1">Performance!$C$46/(Scenarios!$D$68*COS(Performance!$C$44))^1.5*SQRT(T14/(0.5*rho*Scenarios!$D$20))</f>
        <v>6.0683648673844548</v>
      </c>
      <c r="V14" s="3">
        <f ca="1">T14*(S14*MeanWindAngle!M$26-U14)</f>
        <v>62968.414265252606</v>
      </c>
      <c r="W14" s="3">
        <f t="shared" ca="1" si="3"/>
        <v>43158.28192816431</v>
      </c>
      <c r="X14">
        <f ca="1">2/3*S14*MeanWindAngle!M$26</f>
        <v>6.0683648673844548</v>
      </c>
      <c r="Y14" s="88">
        <v>10</v>
      </c>
      <c r="Z14" s="3">
        <f ca="1">MIN(Performance!$C$45,4/18*(Scenarios!$D$68*COS(Performance!$C$44))^3/Performance!$C$46^2*rho*Scenarios!$D$20*(Y14*MeanWindAngle!$M$26)^2)</f>
        <v>20753.00864115404</v>
      </c>
      <c r="AA14" s="14">
        <f ca="1">Performance!$C$46/(Scenarios!$D$68*COS(Performance!$C$44))^1.5*SQRT(Z14/(0.5*rho*Scenarios!$D$20))*MeanWindAngle!$P$28</f>
        <v>6.7505606071877384</v>
      </c>
      <c r="AB14" s="3">
        <f ca="1">Z14*(Y14*MeanWindAngle!M$26-AA14)</f>
        <v>48810.800182156592</v>
      </c>
      <c r="AC14" s="3">
        <f t="shared" ca="1" si="4"/>
        <v>33454.713763742846</v>
      </c>
      <c r="AE14" s="88">
        <v>10</v>
      </c>
      <c r="AF14" s="3">
        <f ca="1">MIN(Performance!$C$45,4/18*(Scenarios!$D$68*COS(Performance!$C$44))^3/Performance!$C$46^2*rho*Scenarios!$D$20*(AE14*MeanWindAngle!$M$26)^2)</f>
        <v>20753.00864115404</v>
      </c>
      <c r="AG14" s="14">
        <f ca="1">Performance!$C$46/(Scenarios!$D$68*COS(Performance!$C$44))^1.5*SQRT(AF14/(0.5*rho*Scenarios!$D$20))*MeanWindAngle!$P$28</f>
        <v>6.7505606071877384</v>
      </c>
      <c r="AH14" s="3">
        <f ca="1">AF14*(AE14*MeanWindAngle!$M$26-AG14)</f>
        <v>48810.800182156592</v>
      </c>
      <c r="AI14" s="3">
        <f ca="1">MIN(AH14*Performance!AG93,P*1000)</f>
        <v>40344.096871677764</v>
      </c>
      <c r="AK14" s="88">
        <v>10</v>
      </c>
      <c r="AL14" s="3"/>
      <c r="AM14" s="14"/>
      <c r="AN14" s="3"/>
      <c r="AO14" s="3"/>
    </row>
    <row r="15" spans="1:41" x14ac:dyDescent="0.3">
      <c r="A15" s="88">
        <v>11</v>
      </c>
      <c r="B15" s="4">
        <f ca="1">MIN(Performance!$C$45,4/18*(Scenarios!$D$68*COS(Performance!$C$44))^3/Performance!$C$46^2*rho*Scenarios!$D$20*(A15*COS(Scenarios!$D$84))^2)</f>
        <v>28996.750812042112</v>
      </c>
      <c r="C15" s="5">
        <f ca="1">Performance!C$46/(Scenarios!D$68*COS(Performance!C$44))^1.5*SQRT(B15/(0.5*rho*Scenarios!D$20))</f>
        <v>7.1730824053812405</v>
      </c>
      <c r="D15" s="3">
        <f ca="1">B15*(A15*COS(Scenarios!D$84)-C15)</f>
        <v>103998.04153154179</v>
      </c>
      <c r="E15" s="3">
        <f t="shared" ca="1" si="0"/>
        <v>71279.813042266949</v>
      </c>
      <c r="F15">
        <f ca="1">2/3*M15*COS(Scenarios!$D$84)</f>
        <v>7.1730824053812414</v>
      </c>
      <c r="G15" s="88">
        <v>11</v>
      </c>
      <c r="H15" s="4">
        <f ca="1">MIN(Performance!C$45,4/9*Scenarios!D$68^3/Performance!C$46^2*0.5*rho*Scenarios!D$20*G15^2)</f>
        <v>32049.871184532465</v>
      </c>
      <c r="I15" s="2">
        <f ca="1">Performance!C$46/Scenarios!D$68^1.5*SQRT(H15/(0.5*rho*Scenarios!D$20))</f>
        <v>7.3333333333333339</v>
      </c>
      <c r="J15" s="3">
        <f t="shared" ca="1" si="5"/>
        <v>117516.19434328569</v>
      </c>
      <c r="K15" s="3">
        <f t="shared" ca="1" si="1"/>
        <v>80545.097185196297</v>
      </c>
      <c r="M15" s="88">
        <v>11</v>
      </c>
      <c r="N15" s="4">
        <f ca="1">MIN(Performance!C$45,4/9*Scenarios!D$68^3/Performance!C$46^2*0.5*rho*Scenarios!D$20*(M15*COS(Scenarios!D$75))^2)</f>
        <v>27552.309561646765</v>
      </c>
      <c r="O15" s="2">
        <f ca="1">(Performance!C$46/Scenarios!D$68^(3/2))*SQRT(N15/(0.5*rho*Scenarios!D$20))</f>
        <v>6.7993482668231087</v>
      </c>
      <c r="P15" s="3">
        <f ca="1">N15*(M15*COS(Scenarios!D$75)-O15)</f>
        <v>93668.87413247829</v>
      </c>
      <c r="Q15" s="3">
        <f t="shared" ca="1" si="2"/>
        <v>64200.245867300269</v>
      </c>
      <c r="R15">
        <f ca="1">2/3*M15*COS(Scenarios!$D$75)</f>
        <v>6.7993482668231078</v>
      </c>
      <c r="S15" s="88">
        <v>11</v>
      </c>
      <c r="T15" s="3">
        <f ca="1">MIN(Performance!$C$45,4/18*(Scenarios!$D$68*COS(Performance!$C$44))^3/Performance!$C$46^2*rho*Scenarios!$D$20*(S15*MeanWindAngle!$M$26)^2)</f>
        <v>25111.140455796387</v>
      </c>
      <c r="U15" s="13">
        <f ca="1">Performance!$C$46/(Scenarios!$D$68*COS(Performance!$C$44))^1.5*SQRT(T15/(0.5*rho*Scenarios!$D$20))</f>
        <v>6.6752013541229012</v>
      </c>
      <c r="V15" s="3">
        <f ca="1">T15*(S15*MeanWindAngle!M$26-U15)</f>
        <v>83810.959387051204</v>
      </c>
      <c r="W15" s="3">
        <f t="shared" ca="1" si="3"/>
        <v>57443.673246386687</v>
      </c>
      <c r="X15">
        <f ca="1">2/3*S15*MeanWindAngle!M$26</f>
        <v>6.6752013541229012</v>
      </c>
      <c r="Y15" s="88">
        <v>11</v>
      </c>
      <c r="Z15" s="3">
        <f ca="1">MIN(Performance!$C$45,4/18*(Scenarios!$D$68*COS(Performance!$C$44))^3/Performance!$C$46^2*rho*Scenarios!$D$20*(Y15*MeanWindAngle!$M$26)^2)</f>
        <v>25111.140455796387</v>
      </c>
      <c r="AA15" s="14">
        <f ca="1">Performance!$C$46/(Scenarios!$D$68*COS(Performance!$C$44))^1.5*SQRT(Z15/(0.5*rho*Scenarios!$D$20))*MeanWindAngle!$P$28</f>
        <v>7.4256166679065139</v>
      </c>
      <c r="AB15" s="3">
        <f ca="1">Z15*(Y15*MeanWindAngle!M$26-AA15)</f>
        <v>64967.175042450384</v>
      </c>
      <c r="AC15" s="3">
        <f t="shared" ca="1" si="4"/>
        <v>44528.224019541703</v>
      </c>
      <c r="AE15" s="88">
        <v>11</v>
      </c>
      <c r="AF15" s="3">
        <f ca="1">MIN(Performance!$C$45,4/18*(Scenarios!$D$68*COS(Performance!$C$44))^3/Performance!$C$46^2*rho*Scenarios!$D$20*(AE15*MeanWindAngle!$M$26)^2)</f>
        <v>25111.140455796387</v>
      </c>
      <c r="AG15" s="14">
        <f ca="1">Performance!$C$46/(Scenarios!$D$68*COS(Performance!$C$44))^1.5*SQRT(AF15/(0.5*rho*Scenarios!$D$20))*MeanWindAngle!$P$28</f>
        <v>7.4256166679065139</v>
      </c>
      <c r="AH15" s="3">
        <f ca="1">AF15*(AE15*MeanWindAngle!$M$26-AG15)</f>
        <v>64967.175042450384</v>
      </c>
      <c r="AI15" s="3">
        <f ca="1">MIN(AH15*Performance!AG94,P*1000)</f>
        <v>53443.212310680668</v>
      </c>
      <c r="AK15" s="88">
        <v>11</v>
      </c>
      <c r="AL15" s="3"/>
      <c r="AM15" s="14"/>
      <c r="AN15" s="3"/>
      <c r="AO15" s="3"/>
    </row>
    <row r="16" spans="1:41" x14ac:dyDescent="0.3">
      <c r="A16" s="88">
        <v>12</v>
      </c>
      <c r="B16" s="4">
        <f ca="1">MIN(Performance!$C$45,4/18*(Scenarios!$D$68*COS(Performance!$C$44))^3/Performance!$C$46^2*rho*Scenarios!$D$20*(A16*COS(Scenarios!$D$84))^2)</f>
        <v>34020.000000000007</v>
      </c>
      <c r="C16" s="5">
        <f ca="1">Performance!C$46/(Scenarios!D$68*COS(Performance!C$44))^1.5*SQRT(B16/(0.5*rho*Scenarios!D$20))</f>
        <v>7.7695936635784895</v>
      </c>
      <c r="D16" s="3">
        <f ca="1">B16*(A16*COS(Scenarios!D$84)-C16)</f>
        <v>134997.40008862864</v>
      </c>
      <c r="E16" s="3">
        <f t="shared" ca="1" si="0"/>
        <v>92526.640865550391</v>
      </c>
      <c r="F16">
        <f ca="1">2/3*M16*COS(Scenarios!$D$84)</f>
        <v>7.8251808058704455</v>
      </c>
      <c r="G16" s="88">
        <v>12</v>
      </c>
      <c r="H16" s="4">
        <f ca="1">MIN(Performance!C$45,4/9*Scenarios!D$68^3/Performance!C$46^2*0.5*rho*Scenarios!D$20*G16^2)</f>
        <v>34020.000000000007</v>
      </c>
      <c r="I16" s="2">
        <f ca="1">Performance!C$46/Scenarios!D$68^1.5*SQRT(H16/(0.5*rho*Scenarios!D$20))</f>
        <v>7.5553647670139519</v>
      </c>
      <c r="J16" s="3">
        <f t="shared" ca="1" si="5"/>
        <v>151206.49062618538</v>
      </c>
      <c r="K16" s="3">
        <f t="shared" ca="1" si="1"/>
        <v>103636.28222116962</v>
      </c>
      <c r="M16" s="88">
        <v>12</v>
      </c>
      <c r="N16" s="4">
        <f ca="1">MIN(Performance!C$45,4/9*Scenarios!D$68^3/Performance!C$46^2*0.5*rho*Scenarios!D$20*(M16*COS(Scenarios!D$75))^2)</f>
        <v>32789.525428736655</v>
      </c>
      <c r="O16" s="2">
        <f ca="1">(Performance!C$46/Scenarios!D$68^(3/2))*SQRT(N16/(0.5*rho*Scenarios!D$20))</f>
        <v>7.4174708365343003</v>
      </c>
      <c r="P16" s="3">
        <f ca="1">N16*(M16*COS(Scenarios!D$75)-O16)</f>
        <v>121607.67430572695</v>
      </c>
      <c r="Q16" s="3">
        <f t="shared" ca="1" si="2"/>
        <v>83349.380059124655</v>
      </c>
      <c r="R16">
        <f ca="1">2/3*M16*COS(Scenarios!$D$75)</f>
        <v>7.4174708365342994</v>
      </c>
      <c r="S16" s="88">
        <v>12</v>
      </c>
      <c r="T16" s="3">
        <f ca="1">MIN(Performance!$C$45,4/18*(Scenarios!$D$68*COS(Performance!$C$44))^3/Performance!$C$46^2*rho*Scenarios!$D$20*(S16*MeanWindAngle!$M$26)^2)</f>
        <v>29884.332443261817</v>
      </c>
      <c r="U16" s="13">
        <f ca="1">Performance!$C$46/(Scenarios!$D$68*COS(Performance!$C$44))^1.5*SQRT(T16/(0.5*rho*Scenarios!$D$20))</f>
        <v>7.2820378408613466</v>
      </c>
      <c r="V16" s="3">
        <f ca="1">T16*(S16*MeanWindAngle!M$26-U16)</f>
        <v>108809.4198503565</v>
      </c>
      <c r="W16" s="3">
        <f t="shared" ca="1" si="3"/>
        <v>74577.511171867925</v>
      </c>
      <c r="X16">
        <f ca="1">2/3*S16*MeanWindAngle!M$26</f>
        <v>7.2820378408613466</v>
      </c>
      <c r="Y16" s="88">
        <v>12</v>
      </c>
      <c r="Z16" s="3">
        <f ca="1">MIN(Performance!$C$45,4/18*(Scenarios!$D$68*COS(Performance!$C$44))^3/Performance!$C$46^2*rho*Scenarios!$D$20*(Y16*MeanWindAngle!$M$26)^2)</f>
        <v>29884.332443261817</v>
      </c>
      <c r="AA16" s="14">
        <f ca="1">Performance!$C$46/(Scenarios!$D$68*COS(Performance!$C$44))^1.5*SQRT(Z16/(0.5*rho*Scenarios!$D$20))*MeanWindAngle!$P$28</f>
        <v>8.1006727286252875</v>
      </c>
      <c r="AB16" s="3">
        <f ca="1">Z16*(Y16*MeanWindAngle!M$26-AA16)</f>
        <v>84345.062714766565</v>
      </c>
      <c r="AC16" s="3">
        <f t="shared" ca="1" si="4"/>
        <v>57809.745383747628</v>
      </c>
      <c r="AE16" s="88">
        <v>12</v>
      </c>
      <c r="AF16" s="3">
        <f ca="1">MIN(Performance!$C$45,4/18*(Scenarios!$D$68*COS(Performance!$C$44))^3/Performance!$C$46^2*rho*Scenarios!$D$20*(AE16*MeanWindAngle!$M$26)^2)</f>
        <v>29884.332443261817</v>
      </c>
      <c r="AG16" s="14">
        <f ca="1">Performance!$C$46/(Scenarios!$D$68*COS(Performance!$C$44))^1.5*SQRT(AF16/(0.5*rho*Scenarios!$D$20))*MeanWindAngle!$P$28</f>
        <v>8.1006727286252875</v>
      </c>
      <c r="AH16" s="3">
        <f ca="1">AF16*(AE16*MeanWindAngle!$M$26-AG16)</f>
        <v>84345.062714766565</v>
      </c>
      <c r="AI16" s="3">
        <f ca="1">MIN(AH16*Performance!AG95,P*1000)</f>
        <v>68908.802072661798</v>
      </c>
      <c r="AK16" s="88">
        <v>12</v>
      </c>
      <c r="AL16" s="3"/>
      <c r="AM16" s="14"/>
      <c r="AN16" s="3"/>
      <c r="AO16" s="3"/>
    </row>
    <row r="17" spans="1:41" x14ac:dyDescent="0.3">
      <c r="A17" s="88">
        <v>13</v>
      </c>
      <c r="B17" s="4">
        <f ca="1">MIN(Performance!$C$45,4/18*(Scenarios!$D$68*COS(Performance!$C$44))^3/Performance!$C$46^2*rho*Scenarios!$D$20*(A17*COS(Scenarios!$D$84))^2)</f>
        <v>34020.000000000007</v>
      </c>
      <c r="C17" s="5">
        <f ca="1">Performance!C$46/(Scenarios!D$68*COS(Performance!C$44))^1.5*SQRT(B17/(0.5*rho*Scenarios!D$20))</f>
        <v>7.7695936635784895</v>
      </c>
      <c r="D17" s="3">
        <f ca="1">B17*(A17*COS(Scenarios!D$84)-C17)</f>
        <v>168273.98146559272</v>
      </c>
      <c r="E17" s="3">
        <f t="shared" ca="1" si="0"/>
        <v>115334.26747375328</v>
      </c>
      <c r="F17">
        <f ca="1">2/3*M17*COS(Scenarios!$D$84)</f>
        <v>8.4772792063596487</v>
      </c>
      <c r="G17" s="88">
        <v>13</v>
      </c>
      <c r="H17" s="4">
        <f ca="1">MIN(Performance!C$45,4/9*Scenarios!D$68^3/Performance!C$46^2*0.5*rho*Scenarios!D$20*G17^2)</f>
        <v>34020.000000000007</v>
      </c>
      <c r="I17" s="2">
        <f ca="1">Performance!C$46/Scenarios!D$68^1.5*SQRT(H17/(0.5*rho*Scenarios!D$20))</f>
        <v>7.5553647670139519</v>
      </c>
      <c r="J17" s="3">
        <f t="shared" ca="1" si="5"/>
        <v>185226.4906261854</v>
      </c>
      <c r="K17" s="3">
        <f t="shared" ca="1" si="1"/>
        <v>126953.44477525924</v>
      </c>
      <c r="M17" s="88">
        <v>13</v>
      </c>
      <c r="N17" s="4">
        <f ca="1">MIN(Performance!C$45,4/9*Scenarios!D$68^3/Performance!C$46^2*0.5*rho*Scenarios!D$20*(M17*COS(Scenarios!D$75))^2)</f>
        <v>34020.000000000007</v>
      </c>
      <c r="O17" s="2">
        <f ca="1">(Performance!C$46/Scenarios!D$68^(3/2))*SQRT(N17/(0.5*rho*Scenarios!D$20))</f>
        <v>7.5553647670139519</v>
      </c>
      <c r="P17" s="3">
        <f ca="1">N17*(M17*COS(Scenarios!D$75)-O17)</f>
        <v>153022.82214689284</v>
      </c>
      <c r="Q17" s="3">
        <f t="shared" ca="1" si="2"/>
        <v>104881.18808008946</v>
      </c>
      <c r="R17">
        <f ca="1">2/3*M17*COS(Scenarios!$D$75)</f>
        <v>8.035593406245491</v>
      </c>
      <c r="S17" s="88">
        <v>13</v>
      </c>
      <c r="T17" s="3">
        <f ca="1">MIN(Performance!$C$45,4/18*(Scenarios!$D$68*COS(Performance!$C$44))^3/Performance!$C$46^2*rho*Scenarios!$D$20*(S17*MeanWindAngle!$M$26)^2)</f>
        <v>34020.000000000007</v>
      </c>
      <c r="U17" s="13">
        <f ca="1">Performance!$C$46/(Scenarios!$D$68*COS(Performance!$C$44))^1.5*SQRT(T17/(0.5*rho*Scenarios!$D$20))</f>
        <v>7.7695936635784895</v>
      </c>
      <c r="V17" s="3">
        <f ca="1">T17*(S17*MeanWindAngle!M$26-U17)</f>
        <v>138247.68050247725</v>
      </c>
      <c r="W17" s="3">
        <f t="shared" ca="1" si="3"/>
        <v>94754.369165258846</v>
      </c>
      <c r="X17">
        <f ca="1">2/3*S17*MeanWindAngle!M$26</f>
        <v>7.8888743275997912</v>
      </c>
      <c r="Y17" s="88">
        <v>13</v>
      </c>
      <c r="Z17" s="3">
        <f ca="1">MIN(Performance!$C$45,4/18*(Scenarios!$D$68*COS(Performance!$C$44))^3/Performance!$C$46^2*rho*Scenarios!$D$20*(Y17*MeanWindAngle!$M$26)^2)</f>
        <v>34020.000000000007</v>
      </c>
      <c r="AA17" s="14">
        <f ca="1">Performance!$C$46/(Scenarios!$D$68*COS(Performance!$C$44))^1.5*SQRT(Z17/(0.5*rho*Scenarios!$D$20))*MeanWindAngle!$P$28</f>
        <v>8.6430387864622045</v>
      </c>
      <c r="AB17" s="3">
        <f ca="1">Z17*(Y17*MeanWindAngle!M$26-AA17)</f>
        <v>108533.07742197326</v>
      </c>
      <c r="AC17" s="3">
        <f t="shared" ca="1" si="4"/>
        <v>74388.107252902497</v>
      </c>
      <c r="AE17" s="88">
        <v>13</v>
      </c>
      <c r="AF17" s="3">
        <f ca="1">MIN(Performance!$C$45,4/18*(Scenarios!$D$68*COS(Performance!$C$44))^3/Performance!$C$46^2*rho*Scenarios!$D$20*(AE17*MeanWindAngle!$M$26)^2)</f>
        <v>34020.000000000007</v>
      </c>
      <c r="AG17" s="14">
        <f ca="1">Performance!$C$46/(Scenarios!$D$68*COS(Performance!$C$44))^1.5*SQRT(AF17/(0.5*rho*Scenarios!$D$20))*MeanWindAngle!$P$28</f>
        <v>8.6430387864622045</v>
      </c>
      <c r="AH17" s="3">
        <f ca="1">AF17*(AE17*MeanWindAngle!$M$26-AG17)</f>
        <v>108533.07742197326</v>
      </c>
      <c r="AI17" s="3">
        <f ca="1">MIN(AH17*Performance!AG96,P*1000)</f>
        <v>86835.051359579564</v>
      </c>
      <c r="AK17" s="88">
        <v>13</v>
      </c>
      <c r="AL17" s="3"/>
      <c r="AM17" s="14"/>
      <c r="AN17" s="3"/>
      <c r="AO17" s="3"/>
    </row>
    <row r="18" spans="1:41" x14ac:dyDescent="0.3">
      <c r="A18" s="88">
        <v>14</v>
      </c>
      <c r="B18" s="4">
        <f ca="1">MIN(Performance!$C$45,4/18*(Scenarios!$D$68*COS(Performance!$C$44))^3/Performance!$C$46^2*rho*Scenarios!$D$20*(A18*COS(Scenarios!$D$84))^2)</f>
        <v>34020.000000000007</v>
      </c>
      <c r="C18" s="5">
        <f ca="1">Performance!C$46/(Scenarios!D$68*COS(Performance!C$44))^1.5*SQRT(B18/(0.5*rho*Scenarios!D$20))</f>
        <v>7.7695936635784895</v>
      </c>
      <c r="D18" s="3">
        <f ca="1">B18*(A18*COS(Scenarios!D$84)-C18)</f>
        <v>201550.5628425568</v>
      </c>
      <c r="E18" s="3">
        <f t="shared" ca="1" si="0"/>
        <v>138141.89408195618</v>
      </c>
      <c r="F18">
        <f ca="1">2/3*M18*COS(Scenarios!$D$84)</f>
        <v>9.1293776068488519</v>
      </c>
      <c r="G18" s="88">
        <v>14</v>
      </c>
      <c r="H18" s="4">
        <f ca="1">MIN(Performance!C$45,4/9*Scenarios!D$68^3/Performance!C$46^2*0.5*rho*Scenarios!D$20*G18^2)</f>
        <v>34020.000000000007</v>
      </c>
      <c r="I18" s="2">
        <f ca="1">Performance!C$46/Scenarios!D$68^1.5*SQRT(H18/(0.5*rho*Scenarios!D$20))</f>
        <v>7.5553647670139519</v>
      </c>
      <c r="J18" s="3">
        <f t="shared" ca="1" si="5"/>
        <v>219246.4906261854</v>
      </c>
      <c r="K18" s="3">
        <f t="shared" ca="1" si="1"/>
        <v>150000</v>
      </c>
      <c r="M18" s="88">
        <v>14</v>
      </c>
      <c r="N18" s="4">
        <f ca="1">MIN(Performance!C$45,4/9*Scenarios!D$68^3/Performance!C$46^2*0.5*rho*Scenarios!D$20*(M18*COS(Scenarios!D$75))^2)</f>
        <v>34020.000000000007</v>
      </c>
      <c r="O18" s="2">
        <f ca="1">(Performance!C$46/Scenarios!D$68^(3/2))*SQRT(N18/(0.5*rho*Scenarios!D$20))</f>
        <v>7.5553647670139519</v>
      </c>
      <c r="P18" s="3">
        <f ca="1">N18*(M18*COS(Scenarios!D$75)-O18)</f>
        <v>184565.6168792549</v>
      </c>
      <c r="Q18" s="3">
        <f t="shared" ca="1" si="2"/>
        <v>126500.48473455057</v>
      </c>
      <c r="R18">
        <f ca="1">2/3*M18*COS(Scenarios!$D$75)</f>
        <v>8.6537159759566809</v>
      </c>
      <c r="S18" s="88">
        <v>14</v>
      </c>
      <c r="T18" s="3">
        <f ca="1">MIN(Performance!$C$45,4/18*(Scenarios!$D$68*COS(Performance!$C$44))^3/Performance!$C$46^2*rho*Scenarios!$D$20*(S18*MeanWindAngle!$M$26)^2)</f>
        <v>34020.000000000007</v>
      </c>
      <c r="U18" s="13">
        <f ca="1">Performance!$C$46/(Scenarios!$D$68*COS(Performance!$C$44))^1.5*SQRT(T18/(0.5*rho*Scenarios!$D$20))</f>
        <v>7.7695936635784895</v>
      </c>
      <c r="V18" s="3">
        <f ca="1">T18*(S18*MeanWindAngle!M$26-U18)</f>
        <v>169214.54642074008</v>
      </c>
      <c r="W18" s="3">
        <f t="shared" ca="1" si="3"/>
        <v>115978.92667280829</v>
      </c>
      <c r="X18">
        <f ca="1">2/3*S18*MeanWindAngle!M$26</f>
        <v>8.4957108143382367</v>
      </c>
      <c r="Y18" s="88">
        <v>14</v>
      </c>
      <c r="Z18" s="3">
        <f ca="1">MIN(Performance!$C$45,4/18*(Scenarios!$D$68*COS(Performance!$C$44))^3/Performance!$C$46^2*rho*Scenarios!$D$20*(Y18*MeanWindAngle!$M$26)^2)</f>
        <v>34020.000000000007</v>
      </c>
      <c r="AA18" s="14">
        <f ca="1">Performance!$C$46/(Scenarios!$D$68*COS(Performance!$C$44))^1.5*SQRT(Z18/(0.5*rho*Scenarios!$D$20))*MeanWindAngle!$P$28</f>
        <v>8.6430387864622045</v>
      </c>
      <c r="AB18" s="3">
        <f ca="1">Z18*(Y18*MeanWindAngle!M$26-AA18)</f>
        <v>139499.94334023609</v>
      </c>
      <c r="AC18" s="3">
        <f t="shared" ca="1" si="4"/>
        <v>95612.664760451924</v>
      </c>
      <c r="AE18" s="88">
        <v>14</v>
      </c>
      <c r="AF18" s="3">
        <f ca="1">MIN(Performance!$C$45,4/18*(Scenarios!$D$68*COS(Performance!$C$44))^3/Performance!$C$46^2*rho*Scenarios!$D$20*(AE18*MeanWindAngle!$M$26)^2)</f>
        <v>34020.000000000007</v>
      </c>
      <c r="AG18" s="14">
        <f ca="1">Performance!$C$46/(Scenarios!$D$68*COS(Performance!$C$44))^1.5*SQRT(AF18/(0.5*rho*Scenarios!$D$20))*MeanWindAngle!$P$28</f>
        <v>8.6430387864622045</v>
      </c>
      <c r="AH18" s="3">
        <f ca="1">AF18*(AE18*MeanWindAngle!$M$26-AG18)</f>
        <v>139499.94334023609</v>
      </c>
      <c r="AI18" s="3">
        <f ca="1">MIN(AH18*Performance!AG97,P*1000)</f>
        <v>107425.02889457002</v>
      </c>
      <c r="AK18" s="88">
        <v>14</v>
      </c>
      <c r="AL18" s="3"/>
      <c r="AM18" s="14"/>
      <c r="AN18" s="3"/>
      <c r="AO18" s="3"/>
    </row>
    <row r="19" spans="1:41" x14ac:dyDescent="0.3">
      <c r="A19" s="88">
        <v>15</v>
      </c>
      <c r="B19" s="4">
        <f ca="1">MIN(Performance!$C$45,4/18*(Scenarios!$D$68*COS(Performance!$C$44))^3/Performance!$C$46^2*rho*Scenarios!$D$20*(A19*COS(Scenarios!$D$84))^2)</f>
        <v>34020.000000000007</v>
      </c>
      <c r="C19" s="5">
        <f ca="1">Performance!C$46/(Scenarios!D$68*COS(Performance!C$44))^1.5*SQRT(B19/(0.5*rho*Scenarios!D$20))</f>
        <v>7.7695936635784895</v>
      </c>
      <c r="D19" s="3">
        <f ca="1">B19*(A19*COS(Scenarios!D$84)-C19)</f>
        <v>234827.14421952088</v>
      </c>
      <c r="E19" s="3">
        <f t="shared" ca="1" si="0"/>
        <v>150000</v>
      </c>
      <c r="F19">
        <f ca="1">2/3*M19*COS(Scenarios!$D$84)</f>
        <v>9.7814760073380569</v>
      </c>
      <c r="G19" s="88">
        <v>15</v>
      </c>
      <c r="H19" s="4">
        <f ca="1">MIN(Performance!C$45,4/9*Scenarios!D$68^3/Performance!C$46^2*0.5*rho*Scenarios!D$20*G19^2)</f>
        <v>34020.000000000007</v>
      </c>
      <c r="I19" s="2">
        <f ca="1">Performance!C$46/Scenarios!D$68^1.5*SQRT(H19/(0.5*rho*Scenarios!D$20))</f>
        <v>7.5553647670139519</v>
      </c>
      <c r="J19" s="3">
        <f t="shared" ca="1" si="5"/>
        <v>253266.4906261854</v>
      </c>
      <c r="K19" s="3">
        <f t="shared" ca="1" si="1"/>
        <v>150000</v>
      </c>
      <c r="M19" s="88">
        <v>15</v>
      </c>
      <c r="N19" s="4">
        <f ca="1">MIN(Performance!C$45,4/9*Scenarios!D$68^3/Performance!C$46^2*0.5*rho*Scenarios!D$20*(M19*COS(Scenarios!D$75))^2)</f>
        <v>34020.000000000007</v>
      </c>
      <c r="O19" s="2">
        <f ca="1">(Performance!C$46/Scenarios!D$68^(3/2))*SQRT(N19/(0.5*rho*Scenarios!D$20))</f>
        <v>7.5553647670139519</v>
      </c>
      <c r="P19" s="3">
        <f ca="1">N19*(M19*COS(Scenarios!D$75)-O19)</f>
        <v>216108.41161161699</v>
      </c>
      <c r="Q19" s="3">
        <f t="shared" ca="1" si="2"/>
        <v>148119.78138901171</v>
      </c>
      <c r="R19">
        <f ca="1">2/3*M19*COS(Scenarios!$D$75)</f>
        <v>9.2718385456678742</v>
      </c>
      <c r="S19" s="88">
        <v>15</v>
      </c>
      <c r="T19" s="3">
        <f ca="1">MIN(Performance!$C$45,4/18*(Scenarios!$D$68*COS(Performance!$C$44))^3/Performance!$C$46^2*rho*Scenarios!$D$20*(S19*MeanWindAngle!$M$26)^2)</f>
        <v>34020.000000000007</v>
      </c>
      <c r="U19" s="13">
        <f ca="1">Performance!$C$46/(Scenarios!$D$68*COS(Performance!$C$44))^1.5*SQRT(T19/(0.5*rho*Scenarios!$D$20))</f>
        <v>7.7695936635784895</v>
      </c>
      <c r="V19" s="3">
        <f ca="1">T19*(S19*MeanWindAngle!M$26-U19)</f>
        <v>200181.41233900297</v>
      </c>
      <c r="W19" s="3">
        <f t="shared" ca="1" si="3"/>
        <v>137203.48418035774</v>
      </c>
      <c r="X19">
        <f ca="1">2/3*S19*MeanWindAngle!M$26</f>
        <v>9.1025473010766831</v>
      </c>
      <c r="Y19" s="88">
        <v>15</v>
      </c>
      <c r="Z19" s="3">
        <f ca="1">MIN(Performance!$C$45,4/18*(Scenarios!$D$68*COS(Performance!$C$44))^3/Performance!$C$46^2*rho*Scenarios!$D$20*(Y19*MeanWindAngle!$M$26)^2)</f>
        <v>34020.000000000007</v>
      </c>
      <c r="AA19" s="14">
        <f ca="1">Performance!$C$46/(Scenarios!$D$68*COS(Performance!$C$44))^1.5*SQRT(Z19/(0.5*rho*Scenarios!$D$20))*MeanWindAngle!$P$28</f>
        <v>8.6430387864622045</v>
      </c>
      <c r="AB19" s="3">
        <f ca="1">Z19*(Y19*MeanWindAngle!M$26-AA19)</f>
        <v>170466.80925849898</v>
      </c>
      <c r="AC19" s="3">
        <f t="shared" ca="1" si="4"/>
        <v>116837.22226800139</v>
      </c>
      <c r="AE19" s="88">
        <v>15</v>
      </c>
      <c r="AF19" s="3">
        <f ca="1">MIN(Performance!$C$45,4/18*(Scenarios!$D$68*COS(Performance!$C$44))^3/Performance!$C$46^2*rho*Scenarios!$D$20*(AE19*MeanWindAngle!$M$26)^2)</f>
        <v>34020.000000000007</v>
      </c>
      <c r="AG19" s="14">
        <f ca="1">Performance!$C$46/(Scenarios!$D$68*COS(Performance!$C$44))^1.5*SQRT(AF19/(0.5*rho*Scenarios!$D$20))*MeanWindAngle!$P$28</f>
        <v>8.6430387864622045</v>
      </c>
      <c r="AH19" s="3">
        <f ca="1">AF19*(AE19*MeanWindAngle!$M$26-AG19)</f>
        <v>170466.80925849898</v>
      </c>
      <c r="AI19" s="3">
        <f ca="1">MIN(AH19*Performance!AG98,P*1000)</f>
        <v>126392.82640704562</v>
      </c>
      <c r="AK19" s="88">
        <v>15</v>
      </c>
      <c r="AL19" s="3"/>
      <c r="AM19" s="14"/>
      <c r="AN19" s="3"/>
      <c r="AO19" s="3"/>
    </row>
    <row r="20" spans="1:41" x14ac:dyDescent="0.3">
      <c r="A20" s="88">
        <v>16</v>
      </c>
      <c r="B20" s="4">
        <f ca="1">MIN(Performance!$C$45,4/18*(Scenarios!$D$68*COS(Performance!$C$44))^3/Performance!$C$46^2*rho*Scenarios!$D$20*(A20*COS(Scenarios!$D$84))^2)</f>
        <v>34020.000000000007</v>
      </c>
      <c r="C20" s="5">
        <f ca="1">Performance!C$46/(Scenarios!D$68*COS(Performance!C$44))^1.5*SQRT(B20/(0.5*rho*Scenarios!D$20))</f>
        <v>7.7695936635784895</v>
      </c>
      <c r="D20" s="3">
        <f ca="1">B20*(A20*COS(Scenarios!D$84)-C20)</f>
        <v>268103.72559648496</v>
      </c>
      <c r="E20" s="3">
        <f t="shared" ca="1" si="0"/>
        <v>150000</v>
      </c>
      <c r="F20">
        <f ca="1">2/3*M20*COS(Scenarios!$D$84)</f>
        <v>10.43357440782726</v>
      </c>
      <c r="G20" s="88">
        <v>16</v>
      </c>
      <c r="H20" s="4">
        <f ca="1">MIN(Performance!C$45,4/9*Scenarios!D$68^3/Performance!C$46^2*0.5*rho*Scenarios!D$20*G20^2)</f>
        <v>34020.000000000007</v>
      </c>
      <c r="I20" s="2">
        <f ca="1">Performance!C$46/Scenarios!D$68^1.5*SQRT(H20/(0.5*rho*Scenarios!D$20))</f>
        <v>7.5553647670139519</v>
      </c>
      <c r="J20" s="3">
        <f t="shared" ca="1" si="5"/>
        <v>287286.49062618543</v>
      </c>
      <c r="K20" s="3">
        <f t="shared" ca="1" si="1"/>
        <v>150000</v>
      </c>
      <c r="M20" s="88">
        <v>16</v>
      </c>
      <c r="N20" s="4">
        <f ca="1">MIN(Performance!C$45,4/9*Scenarios!D$68^3/Performance!C$46^2*0.5*rho*Scenarios!D$20*(M20*COS(Scenarios!D$75))^2)</f>
        <v>34020.000000000007</v>
      </c>
      <c r="O20" s="2">
        <f ca="1">(Performance!C$46/Scenarios!D$68^(3/2))*SQRT(N20/(0.5*rho*Scenarios!D$20))</f>
        <v>7.5553647670139519</v>
      </c>
      <c r="P20" s="3">
        <f ca="1">N20*(M20*COS(Scenarios!D$75)-O20)</f>
        <v>247651.20634397914</v>
      </c>
      <c r="Q20" s="3">
        <f t="shared" ca="1" si="2"/>
        <v>150000</v>
      </c>
      <c r="R20">
        <f ca="1">2/3*M20*COS(Scenarios!$D$75)</f>
        <v>9.8899611153790659</v>
      </c>
      <c r="S20" s="88">
        <v>16</v>
      </c>
      <c r="T20" s="3">
        <f ca="1">MIN(Performance!$C$45,4/18*(Scenarios!$D$68*COS(Performance!$C$44))^3/Performance!$C$46^2*rho*Scenarios!$D$20*(S20*MeanWindAngle!$M$26)^2)</f>
        <v>34020.000000000007</v>
      </c>
      <c r="U20" s="13">
        <f ca="1">Performance!$C$46/(Scenarios!$D$68*COS(Performance!$C$44))^1.5*SQRT(T20/(0.5*rho*Scenarios!$D$20))</f>
        <v>7.7695936635784895</v>
      </c>
      <c r="V20" s="3">
        <f ca="1">T20*(S20*MeanWindAngle!M$26-U20)</f>
        <v>231148.27825726586</v>
      </c>
      <c r="W20" s="3">
        <f t="shared" ca="1" si="3"/>
        <v>150000</v>
      </c>
      <c r="X20">
        <f ca="1">2/3*S20*MeanWindAngle!M$26</f>
        <v>9.7093837878151277</v>
      </c>
      <c r="Y20" s="88">
        <v>16</v>
      </c>
      <c r="Z20" s="3">
        <f ca="1">MIN(Performance!$C$45,4/18*(Scenarios!$D$68*COS(Performance!$C$44))^3/Performance!$C$46^2*rho*Scenarios!$D$20*(Y20*MeanWindAngle!$M$26)^2)</f>
        <v>34020.000000000007</v>
      </c>
      <c r="AA20" s="14">
        <f ca="1">Performance!$C$46/(Scenarios!$D$68*COS(Performance!$C$44))^1.5*SQRT(Z20/(0.5*rho*Scenarios!$D$20))*MeanWindAngle!$P$28</f>
        <v>8.6430387864622045</v>
      </c>
      <c r="AB20" s="3">
        <f ca="1">Z20*(Y20*MeanWindAngle!M$26-AA20)</f>
        <v>201433.67517676187</v>
      </c>
      <c r="AC20" s="3">
        <f t="shared" ca="1" si="4"/>
        <v>138061.77977555088</v>
      </c>
      <c r="AE20" s="88">
        <v>16</v>
      </c>
      <c r="AF20" s="3">
        <f ca="1">MIN(Performance!$C$45,4/18*(Scenarios!$D$68*COS(Performance!$C$44))^3/Performance!$C$46^2*rho*Scenarios!$D$20*(AE20*MeanWindAngle!$M$26)^2)</f>
        <v>34020.000000000007</v>
      </c>
      <c r="AG20" s="14">
        <f ca="1">Performance!$C$46/(Scenarios!$D$68*COS(Performance!$C$44))^1.5*SQRT(AF20/(0.5*rho*Scenarios!$D$20))*MeanWindAngle!$P$28</f>
        <v>8.6430387864622045</v>
      </c>
      <c r="AH20" s="3">
        <f ca="1">AF20*(AE20*MeanWindAngle!$M$26-AG20)</f>
        <v>201433.67517676187</v>
      </c>
      <c r="AI20" s="3">
        <f ca="1">MIN(AH20*Performance!AG99,P*1000)</f>
        <v>145525.76969822627</v>
      </c>
      <c r="AK20" s="88">
        <v>16</v>
      </c>
      <c r="AL20" s="3"/>
      <c r="AM20" s="14"/>
      <c r="AN20" s="3"/>
      <c r="AO20" s="3"/>
    </row>
    <row r="21" spans="1:41" x14ac:dyDescent="0.3">
      <c r="A21" s="88">
        <v>17</v>
      </c>
      <c r="B21" s="4">
        <f ca="1">MIN(Performance!$C$45,4/18*(Scenarios!$D$68*COS(Performance!$C$44))^3/Performance!$C$46^2*rho*Scenarios!$D$20*(A21*COS(Scenarios!$D$84))^2)</f>
        <v>34020.000000000007</v>
      </c>
      <c r="C21" s="5">
        <f ca="1">Performance!C$46/(Scenarios!D$68*COS(Performance!C$44))^1.5*SQRT(B21/(0.5*rho*Scenarios!D$20))</f>
        <v>7.7695936635784895</v>
      </c>
      <c r="D21" s="3">
        <f ca="1">B21*(A21*COS(Scenarios!D$84)-C21)</f>
        <v>301380.30697344901</v>
      </c>
      <c r="E21" s="3">
        <f t="shared" ca="1" si="0"/>
        <v>150000</v>
      </c>
      <c r="F21">
        <f ca="1">2/3*M21*COS(Scenarios!$D$84)</f>
        <v>11.085672808316463</v>
      </c>
      <c r="G21" s="88">
        <v>17</v>
      </c>
      <c r="H21" s="4">
        <f ca="1">MIN(Performance!C$45,4/9*Scenarios!D$68^3/Performance!C$46^2*0.5*rho*Scenarios!D$20*G21^2)</f>
        <v>34020.000000000007</v>
      </c>
      <c r="I21" s="2">
        <f ca="1">Performance!C$46/Scenarios!D$68^1.5*SQRT(H21/(0.5*rho*Scenarios!D$20))</f>
        <v>7.5553647670139519</v>
      </c>
      <c r="J21" s="3">
        <f t="shared" ca="1" si="5"/>
        <v>321306.49062618543</v>
      </c>
      <c r="K21" s="3">
        <f t="shared" ca="1" si="1"/>
        <v>150000</v>
      </c>
      <c r="M21" s="88">
        <v>17</v>
      </c>
      <c r="N21" s="4">
        <f ca="1">MIN(Performance!C$45,4/9*Scenarios!D$68^3/Performance!C$46^2*0.5*rho*Scenarios!D$20*(M21*COS(Scenarios!D$75))^2)</f>
        <v>34020.000000000007</v>
      </c>
      <c r="O21" s="2">
        <f ca="1">(Performance!C$46/Scenarios!D$68^(3/2))*SQRT(N21/(0.5*rho*Scenarios!D$20))</f>
        <v>7.5553647670139519</v>
      </c>
      <c r="P21" s="3">
        <f ca="1">N21*(M21*COS(Scenarios!D$75)-O21)</f>
        <v>279194.00107634126</v>
      </c>
      <c r="Q21" s="3">
        <f t="shared" ca="1" si="2"/>
        <v>150000</v>
      </c>
      <c r="R21">
        <f ca="1">2/3*M21*COS(Scenarios!$D$75)</f>
        <v>10.508083685090256</v>
      </c>
      <c r="S21" s="88">
        <v>17</v>
      </c>
      <c r="T21" s="3">
        <f ca="1">MIN(Performance!$C$45,4/18*(Scenarios!$D$68*COS(Performance!$C$44))^3/Performance!$C$46^2*rho*Scenarios!$D$20*(S21*MeanWindAngle!$M$26)^2)</f>
        <v>34020.000000000007</v>
      </c>
      <c r="U21" s="13">
        <f ca="1">Performance!$C$46/(Scenarios!$D$68*COS(Performance!$C$44))^1.5*SQRT(T21/(0.5*rho*Scenarios!$D$20))</f>
        <v>7.7695936635784895</v>
      </c>
      <c r="V21" s="3">
        <f ca="1">T21*(S21*MeanWindAngle!M$26-U21)</f>
        <v>262115.14417552875</v>
      </c>
      <c r="W21" s="3">
        <f t="shared" ca="1" si="3"/>
        <v>150000</v>
      </c>
      <c r="X21">
        <f ca="1">2/3*S21*MeanWindAngle!M$26</f>
        <v>10.316220274553574</v>
      </c>
      <c r="Y21" s="88">
        <v>17</v>
      </c>
      <c r="Z21" s="3">
        <f ca="1">MIN(Performance!$C$45,4/18*(Scenarios!$D$68*COS(Performance!$C$44))^3/Performance!$C$46^2*rho*Scenarios!$D$20*(Y21*MeanWindAngle!$M$26)^2)</f>
        <v>34020.000000000007</v>
      </c>
      <c r="AA21" s="14">
        <f ca="1">Performance!$C$46/(Scenarios!$D$68*COS(Performance!$C$44))^1.5*SQRT(Z21/(0.5*rho*Scenarios!$D$20))*MeanWindAngle!$P$28</f>
        <v>8.6430387864622045</v>
      </c>
      <c r="AB21" s="3">
        <f ca="1">Z21*(Y21*MeanWindAngle!M$26-AA21)</f>
        <v>232400.54109502476</v>
      </c>
      <c r="AC21" s="3">
        <f t="shared" ca="1" si="4"/>
        <v>150000</v>
      </c>
      <c r="AE21" s="88">
        <v>17</v>
      </c>
      <c r="AF21" s="3">
        <f ca="1">MIN(Performance!$C$45,4/18*(Scenarios!$D$68*COS(Performance!$C$44))^3/Performance!$C$46^2*rho*Scenarios!$D$20*(AE21*MeanWindAngle!$M$26)^2)</f>
        <v>34020.000000000007</v>
      </c>
      <c r="AG21" s="14">
        <f ca="1">Performance!$C$46/(Scenarios!$D$68*COS(Performance!$C$44))^1.5*SQRT(AF21/(0.5*rho*Scenarios!$D$20))*MeanWindAngle!$P$28</f>
        <v>8.6430387864622045</v>
      </c>
      <c r="AH21" s="3">
        <f ca="1">AF21*(AE21*MeanWindAngle!$M$26-AG21)</f>
        <v>232400.54109502476</v>
      </c>
      <c r="AI21" s="3">
        <f ca="1">MIN(AH21*Performance!AG100,P*1000)</f>
        <v>150000</v>
      </c>
      <c r="AK21" s="88">
        <v>17</v>
      </c>
      <c r="AL21" s="3"/>
      <c r="AM21" s="14"/>
      <c r="AN21" s="3"/>
      <c r="AO21" s="3"/>
    </row>
    <row r="22" spans="1:41" x14ac:dyDescent="0.3">
      <c r="A22" s="88">
        <v>18</v>
      </c>
      <c r="B22" s="4">
        <f ca="1">MIN(Performance!$C$45,4/18*(Scenarios!$D$68*COS(Performance!$C$44))^3/Performance!$C$46^2*rho*Scenarios!$D$20*(A22*COS(Scenarios!$D$84))^2)</f>
        <v>34020.000000000007</v>
      </c>
      <c r="C22" s="5">
        <f ca="1">Performance!C$46/(Scenarios!D$68*COS(Performance!C$44))^1.5*SQRT(B22/(0.5*rho*Scenarios!D$20))</f>
        <v>7.7695936635784895</v>
      </c>
      <c r="D22" s="3">
        <f ca="1">B22*(A22*COS(Scenarios!D$84)-C22)</f>
        <v>334656.88835041306</v>
      </c>
      <c r="E22" s="3">
        <f t="shared" ca="1" si="0"/>
        <v>150000</v>
      </c>
      <c r="F22">
        <f ca="1">2/3*M22*COS(Scenarios!$D$84)</f>
        <v>11.737771208805668</v>
      </c>
      <c r="G22" s="88">
        <v>18</v>
      </c>
      <c r="H22" s="4">
        <f ca="1">MIN(Performance!C$45,4/9*Scenarios!D$68^3/Performance!C$46^2*0.5*rho*Scenarios!D$20*G22^2)</f>
        <v>34020.000000000007</v>
      </c>
      <c r="I22" s="2">
        <f ca="1">Performance!C$46/Scenarios!D$68^1.5*SQRT(H22/(0.5*rho*Scenarios!D$20))</f>
        <v>7.5553647670139519</v>
      </c>
      <c r="J22" s="3">
        <f t="shared" ca="1" si="5"/>
        <v>355326.49062618543</v>
      </c>
      <c r="K22" s="3">
        <f t="shared" ca="1" si="1"/>
        <v>150000</v>
      </c>
      <c r="M22" s="88">
        <v>18</v>
      </c>
      <c r="N22" s="4">
        <f ca="1">MIN(Performance!C$45,4/9*Scenarios!D$68^3/Performance!C$46^2*0.5*rho*Scenarios!D$20*(M22*COS(Scenarios!D$75))^2)</f>
        <v>34020.000000000007</v>
      </c>
      <c r="O22" s="2">
        <f ca="1">(Performance!C$46/Scenarios!D$68^(3/2))*SQRT(N22/(0.5*rho*Scenarios!D$20))</f>
        <v>7.5553647670139519</v>
      </c>
      <c r="P22" s="3">
        <f ca="1">N22*(M22*COS(Scenarios!D$75)-O22)</f>
        <v>310736.79580870341</v>
      </c>
      <c r="Q22" s="3">
        <f t="shared" ca="1" si="2"/>
        <v>150000</v>
      </c>
      <c r="R22">
        <f ca="1">2/3*M22*COS(Scenarios!$D$75)</f>
        <v>11.126206254801449</v>
      </c>
      <c r="S22" s="88">
        <v>18</v>
      </c>
      <c r="T22" s="3">
        <f ca="1">MIN(Performance!$C$45,4/18*(Scenarios!$D$68*COS(Performance!$C$44))^3/Performance!$C$46^2*rho*Scenarios!$D$20*(S22*MeanWindAngle!$M$26)^2)</f>
        <v>34020.000000000007</v>
      </c>
      <c r="U22" s="13">
        <f ca="1">Performance!$C$46/(Scenarios!$D$68*COS(Performance!$C$44))^1.5*SQRT(T22/(0.5*rho*Scenarios!$D$20))</f>
        <v>7.7695936635784895</v>
      </c>
      <c r="V22" s="3">
        <f ca="1">T22*(S22*MeanWindAngle!M$26-U22)</f>
        <v>293082.01009379158</v>
      </c>
      <c r="W22" s="3">
        <f t="shared" ca="1" si="3"/>
        <v>150000</v>
      </c>
      <c r="X22">
        <f ca="1">2/3*S22*MeanWindAngle!M$26</f>
        <v>10.92305676129202</v>
      </c>
      <c r="Y22" s="88">
        <v>18</v>
      </c>
      <c r="Z22" s="3">
        <f ca="1">MIN(Performance!$C$45,4/18*(Scenarios!$D$68*COS(Performance!$C$44))^3/Performance!$C$46^2*rho*Scenarios!$D$20*(Y22*MeanWindAngle!$M$26)^2)</f>
        <v>34020.000000000007</v>
      </c>
      <c r="AA22" s="14">
        <f ca="1">Performance!$C$46/(Scenarios!$D$68*COS(Performance!$C$44))^1.5*SQRT(Z22/(0.5*rho*Scenarios!$D$20))*MeanWindAngle!$P$28</f>
        <v>8.6430387864622045</v>
      </c>
      <c r="AB22" s="3">
        <f ca="1">Z22*(Y22*MeanWindAngle!M$26-AA22)</f>
        <v>263367.40701328759</v>
      </c>
      <c r="AC22" s="3">
        <f t="shared" ca="1" si="4"/>
        <v>150000</v>
      </c>
      <c r="AD22" s="15"/>
      <c r="AE22" s="88">
        <v>18</v>
      </c>
      <c r="AF22" s="3">
        <f ca="1">MIN(Performance!$C$45,4/18*(Scenarios!$D$68*COS(Performance!$C$44))^3/Performance!$C$46^2*rho*Scenarios!$D$20*(AE22*MeanWindAngle!$M$26)^2)</f>
        <v>34020.000000000007</v>
      </c>
      <c r="AG22" s="14">
        <f ca="1">Performance!$C$46/(Scenarios!$D$68*COS(Performance!$C$44))^1.5*SQRT(AF22/(0.5*rho*Scenarios!$D$20))*MeanWindAngle!$P$28</f>
        <v>8.6430387864622045</v>
      </c>
      <c r="AH22" s="3">
        <f ca="1">AF22*(AE22*MeanWindAngle!$M$26-AG22)</f>
        <v>263367.40701328759</v>
      </c>
      <c r="AI22" s="3">
        <f ca="1">MIN(AH22*Performance!AG101,P*1000)</f>
        <v>150000</v>
      </c>
      <c r="AK22" s="88">
        <v>18</v>
      </c>
      <c r="AL22" s="3"/>
      <c r="AM22" s="14"/>
      <c r="AN22" s="3"/>
      <c r="AO22" s="3"/>
    </row>
    <row r="23" spans="1:41" x14ac:dyDescent="0.3">
      <c r="A23" s="88">
        <v>19</v>
      </c>
      <c r="B23" s="4">
        <f ca="1">MIN(Performance!$C$45,4/18*(Scenarios!$D$68*COS(Performance!$C$44))^3/Performance!$C$46^2*rho*Scenarios!$D$20*(A23*COS(Scenarios!$D$84))^2)</f>
        <v>34020.000000000007</v>
      </c>
      <c r="C23" s="5">
        <f ca="1">Performance!C$46/(Scenarios!D$68*COS(Performance!C$44))^1.5*SQRT(B23/(0.5*rho*Scenarios!D$20))</f>
        <v>7.7695936635784895</v>
      </c>
      <c r="D23" s="3">
        <f ca="1">B23*(A23*COS(Scenarios!D$84)-C23)</f>
        <v>367933.46972737717</v>
      </c>
      <c r="E23" s="3">
        <f t="shared" ca="1" si="0"/>
        <v>150000</v>
      </c>
      <c r="F23">
        <f ca="1">2/3*M23*COS(Scenarios!$D$84)</f>
        <v>12.389869609294871</v>
      </c>
      <c r="G23" s="88">
        <v>19</v>
      </c>
      <c r="H23" s="4">
        <f ca="1">MIN(Performance!C$45,4/9*Scenarios!D$68^3/Performance!C$46^2*0.5*rho*Scenarios!D$20*G23^2)</f>
        <v>34020.000000000007</v>
      </c>
      <c r="I23" s="2">
        <f ca="1">Performance!C$46/Scenarios!D$68^1.5*SQRT(H23/(0.5*rho*Scenarios!D$20))</f>
        <v>7.5553647670139519</v>
      </c>
      <c r="J23" s="3">
        <f t="shared" ca="1" si="5"/>
        <v>389346.49062618543</v>
      </c>
      <c r="K23" s="3">
        <f t="shared" ca="1" si="1"/>
        <v>150000</v>
      </c>
      <c r="M23" s="88">
        <v>19</v>
      </c>
      <c r="N23" s="4">
        <f ca="1">MIN(Performance!C$45,4/9*Scenarios!D$68^3/Performance!C$46^2*0.5*rho*Scenarios!D$20*(M23*COS(Scenarios!D$75))^2)</f>
        <v>34020.000000000007</v>
      </c>
      <c r="O23" s="2">
        <f ca="1">(Performance!C$46/Scenarios!D$68^(3/2))*SQRT(N23/(0.5*rho*Scenarios!D$20))</f>
        <v>7.5553647670139519</v>
      </c>
      <c r="P23" s="3">
        <f ca="1">N23*(M23*COS(Scenarios!D$75)-O23)</f>
        <v>342279.59054106544</v>
      </c>
      <c r="Q23" s="3">
        <f t="shared" ca="1" si="2"/>
        <v>150000</v>
      </c>
      <c r="R23">
        <f ca="1">2/3*M23*COS(Scenarios!$D$75)</f>
        <v>11.744328824512641</v>
      </c>
      <c r="S23" s="88">
        <v>19</v>
      </c>
      <c r="T23" s="3">
        <f ca="1">MIN(Performance!$C$45,4/18*(Scenarios!$D$68*COS(Performance!$C$44))^3/Performance!$C$46^2*rho*Scenarios!$D$20*(S23*MeanWindAngle!$M$26)^2)</f>
        <v>34020.000000000007</v>
      </c>
      <c r="U23" s="13">
        <f ca="1">Performance!$C$46/(Scenarios!$D$68*COS(Performance!$C$44))^1.5*SQRT(T23/(0.5*rho*Scenarios!$D$20))</f>
        <v>7.7695936635784895</v>
      </c>
      <c r="V23" s="3">
        <f ca="1">T23*(S23*MeanWindAngle!M$26-U23)</f>
        <v>324048.8760120545</v>
      </c>
      <c r="W23" s="3">
        <f t="shared" ca="1" si="3"/>
        <v>150000</v>
      </c>
      <c r="X23">
        <f ca="1">2/3*S23*MeanWindAngle!M$26</f>
        <v>11.529893248030465</v>
      </c>
      <c r="Y23" s="88">
        <v>19</v>
      </c>
      <c r="Z23" s="3">
        <f ca="1">MIN(Performance!$C$45,4/18*(Scenarios!$D$68*COS(Performance!$C$44))^3/Performance!$C$46^2*rho*Scenarios!$D$20*(Y23*MeanWindAngle!$M$26)^2)</f>
        <v>34020.000000000007</v>
      </c>
      <c r="AA23" s="14">
        <f ca="1">Performance!$C$46/(Scenarios!$D$68*COS(Performance!$C$44))^1.5*SQRT(Z23/(0.5*rho*Scenarios!$D$20))*MeanWindAngle!$P$28</f>
        <v>8.6430387864622045</v>
      </c>
      <c r="AB23" s="3">
        <f ca="1">Z23*(Y23*MeanWindAngle!M$26-AA23)</f>
        <v>294334.27293155057</v>
      </c>
      <c r="AC23" s="3">
        <f t="shared" ca="1" si="4"/>
        <v>150000</v>
      </c>
      <c r="AE23" s="88">
        <v>19</v>
      </c>
      <c r="AF23" s="3">
        <f ca="1">MIN(Performance!$C$45,4/18*(Scenarios!$D$68*COS(Performance!$C$44))^3/Performance!$C$46^2*rho*Scenarios!$D$20*(AE23*MeanWindAngle!$M$26)^2)</f>
        <v>34020.000000000007</v>
      </c>
      <c r="AG23" s="14">
        <f ca="1">Performance!$C$46/(Scenarios!$D$68*COS(Performance!$C$44))^1.5*SQRT(AF23/(0.5*rho*Scenarios!$D$20))*MeanWindAngle!$P$28</f>
        <v>8.6430387864622045</v>
      </c>
      <c r="AH23" s="3">
        <f ca="1">AF23*(AE23*MeanWindAngle!$M$26-AG23)</f>
        <v>294334.27293155057</v>
      </c>
      <c r="AI23" s="3">
        <f ca="1">MIN(AH23*Performance!AG102,P*1000)</f>
        <v>150000</v>
      </c>
      <c r="AK23" s="88">
        <v>19</v>
      </c>
      <c r="AL23" s="3"/>
      <c r="AM23" s="14"/>
      <c r="AN23" s="3"/>
      <c r="AO23" s="3"/>
    </row>
    <row r="24" spans="1:41" x14ac:dyDescent="0.3">
      <c r="A24" s="88">
        <v>20</v>
      </c>
      <c r="B24" s="4">
        <f ca="1">MIN(Performance!$C$45,4/18*(Scenarios!$D$68*COS(Performance!$C$44))^3/Performance!$C$46^2*rho*Scenarios!$D$20*(A24*COS(Scenarios!$D$84))^2)</f>
        <v>34020.000000000007</v>
      </c>
      <c r="C24" s="5">
        <f ca="1">Performance!C$46/(Scenarios!D$68*COS(Performance!C$44))^1.5*SQRT(B24/(0.5*rho*Scenarios!D$20))</f>
        <v>7.7695936635784895</v>
      </c>
      <c r="D24" s="3">
        <f ca="1">B24*(A24*COS(Scenarios!D$84)-C24)</f>
        <v>401210.05110434123</v>
      </c>
      <c r="E24" s="3">
        <f t="shared" ca="1" si="0"/>
        <v>150000</v>
      </c>
      <c r="F24">
        <f ca="1">2/3*M24*COS(Scenarios!$D$84)</f>
        <v>13.041968009784075</v>
      </c>
      <c r="G24" s="88">
        <v>20</v>
      </c>
      <c r="H24" s="4">
        <f ca="1">MIN(Performance!C$45,4/9*Scenarios!D$68^3/Performance!C$46^2*0.5*rho*Scenarios!D$20*G24^2)</f>
        <v>34020.000000000007</v>
      </c>
      <c r="I24" s="2">
        <f ca="1">Performance!C$46/Scenarios!D$68^1.5*SQRT(H24/(0.5*rho*Scenarios!D$20))</f>
        <v>7.5553647670139519</v>
      </c>
      <c r="J24" s="3">
        <f t="shared" ca="1" si="5"/>
        <v>423366.49062618543</v>
      </c>
      <c r="K24" s="3">
        <f t="shared" ca="1" si="1"/>
        <v>150000</v>
      </c>
      <c r="M24" s="88">
        <v>20</v>
      </c>
      <c r="N24" s="4">
        <f ca="1">MIN(Performance!C$45,4/9*Scenarios!D$68^3/Performance!C$46^2*0.5*rho*Scenarios!D$20*(M24*COS(Scenarios!D$75))^2)</f>
        <v>34020.000000000007</v>
      </c>
      <c r="O24" s="2">
        <f ca="1">(Performance!C$46/Scenarios!D$68^(3/2))*SQRT(N24/(0.5*rho*Scenarios!D$20))</f>
        <v>7.5553647670139519</v>
      </c>
      <c r="P24" s="3">
        <f ca="1">N24*(M24*COS(Scenarios!D$75)-O24)</f>
        <v>373822.38527342759</v>
      </c>
      <c r="Q24" s="3">
        <f t="shared" ca="1" si="2"/>
        <v>150000</v>
      </c>
      <c r="R24">
        <f ca="1">2/3*M24*COS(Scenarios!$D$75)</f>
        <v>12.362451394223831</v>
      </c>
      <c r="S24" s="88">
        <v>20</v>
      </c>
      <c r="T24" s="3">
        <f ca="1">MIN(Performance!$C$45,4/18*(Scenarios!$D$68*COS(Performance!$C$44))^3/Performance!$C$46^2*rho*Scenarios!$D$20*(S24*MeanWindAngle!$M$26)^2)</f>
        <v>34020.000000000007</v>
      </c>
      <c r="U24" s="13">
        <f ca="1">Performance!$C$46/(Scenarios!$D$68*COS(Performance!$C$44))^1.5*SQRT(T24/(0.5*rho*Scenarios!$D$20))</f>
        <v>7.7695936635784895</v>
      </c>
      <c r="V24" s="3">
        <f ca="1">T24*(S24*MeanWindAngle!M$26-U24)</f>
        <v>355015.74193031737</v>
      </c>
      <c r="W24" s="3">
        <f t="shared" ca="1" si="3"/>
        <v>150000</v>
      </c>
      <c r="X24">
        <f ca="1">2/3*S24*MeanWindAngle!M$26</f>
        <v>12.13672973476891</v>
      </c>
      <c r="Y24" s="88">
        <v>20</v>
      </c>
      <c r="Z24" s="3">
        <f ca="1">MIN(Performance!$C$45,4/18*(Scenarios!$D$68*COS(Performance!$C$44))^3/Performance!$C$46^2*rho*Scenarios!$D$20*(Y24*MeanWindAngle!$M$26)^2)</f>
        <v>34020.000000000007</v>
      </c>
      <c r="AA24" s="14">
        <f ca="1">Performance!$C$46/(Scenarios!$D$68*COS(Performance!$C$44))^1.5*SQRT(Z24/(0.5*rho*Scenarios!$D$20))*MeanWindAngle!$P$28</f>
        <v>8.6430387864622045</v>
      </c>
      <c r="AB24" s="3">
        <f ca="1">Z24*(Y24*MeanWindAngle!M$26-AA24)</f>
        <v>325301.13884981337</v>
      </c>
      <c r="AC24" s="3">
        <f t="shared" ca="1" si="4"/>
        <v>150000</v>
      </c>
      <c r="AE24" s="88">
        <v>20</v>
      </c>
      <c r="AF24" s="3">
        <f ca="1">MIN(Performance!$C$45,4/18*(Scenarios!$D$68*COS(Performance!$C$44))^3/Performance!$C$46^2*rho*Scenarios!$D$20*(AE24*MeanWindAngle!$M$26)^2)</f>
        <v>34020.000000000007</v>
      </c>
      <c r="AG24" s="14">
        <f ca="1">Performance!$C$46/(Scenarios!$D$68*COS(Performance!$C$44))^1.5*SQRT(AF24/(0.5*rho*Scenarios!$D$20))*MeanWindAngle!$P$28</f>
        <v>8.6430387864622045</v>
      </c>
      <c r="AH24" s="3">
        <f ca="1">AF24*(AE24*MeanWindAngle!$M$26-AG24)</f>
        <v>325301.13884981337</v>
      </c>
      <c r="AI24" s="3">
        <f ca="1">MIN(AH24*Performance!AG103,P*1000)</f>
        <v>150000</v>
      </c>
      <c r="AK24" s="88">
        <v>20</v>
      </c>
      <c r="AL24" s="3"/>
      <c r="AM24" s="14"/>
      <c r="AN24" s="3"/>
      <c r="AO24" s="3"/>
    </row>
    <row r="25" spans="1:41" x14ac:dyDescent="0.3">
      <c r="A25" s="88">
        <v>21</v>
      </c>
      <c r="B25" s="4">
        <f ca="1">MIN(Performance!$C$45,4/18*(Scenarios!$D$68*COS(Performance!$C$44))^3/Performance!$C$46^2*rho*Scenarios!$D$20*(A25*COS(Scenarios!$D$84))^2)</f>
        <v>34020.000000000007</v>
      </c>
      <c r="C25" s="5">
        <f ca="1">Performance!C$46/(Scenarios!D$68*COS(Performance!C$44))^1.5*SQRT(B25/(0.5*rho*Scenarios!D$20))</f>
        <v>7.7695936635784895</v>
      </c>
      <c r="D25" s="3">
        <f ca="1">B25*(A25*COS(Scenarios!D$84)-C25)</f>
        <v>434486.63248130534</v>
      </c>
      <c r="E25" s="3">
        <f t="shared" ca="1" si="0"/>
        <v>150000</v>
      </c>
      <c r="F25">
        <f ca="1">2/3*M25*COS(Scenarios!$D$84)</f>
        <v>13.69406641027328</v>
      </c>
      <c r="G25" s="88">
        <v>21</v>
      </c>
      <c r="H25" s="4">
        <f ca="1">MIN(Performance!C$45,4/9*Scenarios!D$68^3/Performance!C$46^2*0.5*rho*Scenarios!D$20*G25^2)</f>
        <v>34020.000000000007</v>
      </c>
      <c r="I25" s="2">
        <f ca="1">Performance!C$46/Scenarios!D$68^1.5*SQRT(H25/(0.5*rho*Scenarios!D$20))</f>
        <v>7.5553647670139519</v>
      </c>
      <c r="J25" s="3">
        <f t="shared" ca="1" si="5"/>
        <v>457386.49062618543</v>
      </c>
      <c r="K25" s="3">
        <f t="shared" ca="1" si="1"/>
        <v>150000</v>
      </c>
      <c r="M25" s="88">
        <v>21</v>
      </c>
      <c r="N25" s="4">
        <f ca="1">MIN(Performance!C$45,4/9*Scenarios!D$68^3/Performance!C$46^2*0.5*rho*Scenarios!D$20*(M25*COS(Scenarios!D$75))^2)</f>
        <v>34020.000000000007</v>
      </c>
      <c r="O25" s="2">
        <f ca="1">(Performance!C$46/Scenarios!D$68^(3/2))*SQRT(N25/(0.5*rho*Scenarios!D$20))</f>
        <v>7.5553647670139519</v>
      </c>
      <c r="P25" s="3">
        <f ca="1">N25*(M25*COS(Scenarios!D$75)-O25)</f>
        <v>405365.18000578973</v>
      </c>
      <c r="Q25" s="3">
        <f t="shared" ca="1" si="2"/>
        <v>150000</v>
      </c>
      <c r="R25">
        <f ca="1">2/3*M25*COS(Scenarios!$D$75)</f>
        <v>12.980573963935024</v>
      </c>
      <c r="S25" s="88">
        <v>21</v>
      </c>
      <c r="T25" s="3">
        <f ca="1">MIN(Performance!$C$45,4/18*(Scenarios!$D$68*COS(Performance!$C$44))^3/Performance!$C$46^2*rho*Scenarios!$D$20*(S25*MeanWindAngle!$M$26)^2)</f>
        <v>34020.000000000007</v>
      </c>
      <c r="U25" s="13">
        <f ca="1">Performance!$C$46/(Scenarios!$D$68*COS(Performance!$C$44))^1.5*SQRT(T25/(0.5*rho*Scenarios!$D$20))</f>
        <v>7.7695936635784895</v>
      </c>
      <c r="V25" s="3">
        <f ca="1">T25*(S25*MeanWindAngle!M$26-U25)</f>
        <v>385982.60784858029</v>
      </c>
      <c r="W25" s="3">
        <f t="shared" ca="1" si="3"/>
        <v>150000</v>
      </c>
      <c r="X25">
        <f ca="1">2/3*S25*MeanWindAngle!M$26</f>
        <v>12.743566221507356</v>
      </c>
      <c r="Y25" s="88">
        <v>21</v>
      </c>
      <c r="Z25" s="3">
        <f ca="1">MIN(Performance!$C$45,4/18*(Scenarios!$D$68*COS(Performance!$C$44))^3/Performance!$C$46^2*rho*Scenarios!$D$20*(Y25*MeanWindAngle!$M$26)^2)</f>
        <v>34020.000000000007</v>
      </c>
      <c r="AA25" s="14">
        <f ca="1">Performance!$C$46/(Scenarios!$D$68*COS(Performance!$C$44))^1.5*SQRT(Z25/(0.5*rho*Scenarios!$D$20))*MeanWindAngle!$P$28</f>
        <v>8.6430387864622045</v>
      </c>
      <c r="AB25" s="3">
        <f ca="1">Z25*(Y25*MeanWindAngle!M$26-AA25)</f>
        <v>356268.00476807635</v>
      </c>
      <c r="AC25" s="3">
        <f t="shared" ca="1" si="4"/>
        <v>150000</v>
      </c>
      <c r="AE25" s="88">
        <v>21</v>
      </c>
      <c r="AF25" s="3">
        <f ca="1">MIN(Performance!$C$45,4/18*(Scenarios!$D$68*COS(Performance!$C$44))^3/Performance!$C$46^2*rho*Scenarios!$D$20*(AE25*MeanWindAngle!$M$26)^2)</f>
        <v>34020.000000000007</v>
      </c>
      <c r="AG25" s="14">
        <f ca="1">Performance!$C$46/(Scenarios!$D$68*COS(Performance!$C$44))^1.5*SQRT(AF25/(0.5*rho*Scenarios!$D$20))*MeanWindAngle!$P$28</f>
        <v>8.6430387864622045</v>
      </c>
      <c r="AH25" s="3">
        <f ca="1">AF25*(AE25*MeanWindAngle!$M$26-AG25)</f>
        <v>356268.00476807635</v>
      </c>
      <c r="AI25" s="3">
        <f ca="1">MIN(AH25*Performance!AG104,P*1000)</f>
        <v>150000</v>
      </c>
      <c r="AK25" s="88">
        <v>21</v>
      </c>
      <c r="AL25" s="3"/>
      <c r="AM25" s="14"/>
      <c r="AN25" s="3"/>
      <c r="AO25" s="3"/>
    </row>
    <row r="26" spans="1:41" x14ac:dyDescent="0.3">
      <c r="A26" s="88">
        <v>22</v>
      </c>
      <c r="B26" s="4">
        <f ca="1">MIN(Performance!$C$45,4/18*(Scenarios!$D$68*COS(Performance!$C$44))^3/Performance!$C$46^2*rho*Scenarios!$D$20*(A26*COS(Scenarios!$D$84))^2)</f>
        <v>34020.000000000007</v>
      </c>
      <c r="C26" s="5">
        <f ca="1">Performance!C$46/(Scenarios!D$68*COS(Performance!C$44))^1.5*SQRT(B26/(0.5*rho*Scenarios!D$20))</f>
        <v>7.7695936635784895</v>
      </c>
      <c r="D26" s="3">
        <f ca="1">B26*(A26*COS(Scenarios!D$84)-C26)</f>
        <v>467763.21385826939</v>
      </c>
      <c r="E26" s="3">
        <f t="shared" ca="1" si="0"/>
        <v>150000</v>
      </c>
      <c r="F26">
        <f ca="1">2/3*M26*COS(Scenarios!$D$84)</f>
        <v>14.346164810762483</v>
      </c>
      <c r="G26" s="88">
        <v>22</v>
      </c>
      <c r="H26" s="4">
        <f ca="1">MIN(Performance!C$45,4/9*Scenarios!D$68^3/Performance!C$46^2*0.5*rho*Scenarios!D$20*G26^2)</f>
        <v>34020.000000000007</v>
      </c>
      <c r="I26" s="2">
        <f ca="1">Performance!C$46/Scenarios!D$68^1.5*SQRT(H26/(0.5*rho*Scenarios!D$20))</f>
        <v>7.5553647670139519</v>
      </c>
      <c r="J26" s="3">
        <f t="shared" ca="1" si="5"/>
        <v>491406.49062618543</v>
      </c>
      <c r="K26" s="3">
        <f t="shared" ca="1" si="1"/>
        <v>150000</v>
      </c>
      <c r="M26" s="88">
        <v>22</v>
      </c>
      <c r="N26" s="4">
        <f ca="1">MIN(Performance!C$45,4/9*Scenarios!D$68^3/Performance!C$46^2*0.5*rho*Scenarios!D$20*(M26*COS(Scenarios!D$75))^2)</f>
        <v>34020.000000000007</v>
      </c>
      <c r="O26" s="2">
        <f ca="1">(Performance!C$46/Scenarios!D$68^(3/2))*SQRT(N26/(0.5*rho*Scenarios!D$20))</f>
        <v>7.5553647670139519</v>
      </c>
      <c r="P26" s="3">
        <f ca="1">N26*(M26*COS(Scenarios!D$75)-O26)</f>
        <v>436907.97473815177</v>
      </c>
      <c r="Q26" s="3">
        <f t="shared" ca="1" si="2"/>
        <v>150000</v>
      </c>
      <c r="R26">
        <f ca="1">2/3*M26*COS(Scenarios!$D$75)</f>
        <v>13.598696533646216</v>
      </c>
      <c r="S26" s="88">
        <v>22</v>
      </c>
      <c r="T26" s="3">
        <f ca="1">MIN(Performance!$C$45,4/18*(Scenarios!$D$68*COS(Performance!$C$44))^3/Performance!$C$46^2*rho*Scenarios!$D$20*(S26*MeanWindAngle!$M$26)^2)</f>
        <v>34020.000000000007</v>
      </c>
      <c r="U26" s="13">
        <f ca="1">Performance!$C$46/(Scenarios!$D$68*COS(Performance!$C$44))^1.5*SQRT(T26/(0.5*rho*Scenarios!$D$20))</f>
        <v>7.7695936635784895</v>
      </c>
      <c r="V26" s="3">
        <f ca="1">T26*(S26*MeanWindAngle!M$26-U26)</f>
        <v>416949.47376684315</v>
      </c>
      <c r="W26" s="3">
        <f t="shared" ca="1" si="3"/>
        <v>150000</v>
      </c>
      <c r="X26">
        <f ca="1">2/3*S26*MeanWindAngle!M$26</f>
        <v>13.350402708245802</v>
      </c>
      <c r="Y26" s="88">
        <v>22</v>
      </c>
      <c r="Z26" s="3">
        <f ca="1">MIN(Performance!$C$45,4/18*(Scenarios!$D$68*COS(Performance!$C$44))^3/Performance!$C$46^2*rho*Scenarios!$D$20*(Y26*MeanWindAngle!$M$26)^2)</f>
        <v>34020.000000000007</v>
      </c>
      <c r="AA26" s="14">
        <f ca="1">Performance!$C$46/(Scenarios!$D$68*COS(Performance!$C$44))^1.5*SQRT(Z26/(0.5*rho*Scenarios!$D$20))*MeanWindAngle!$P$28</f>
        <v>8.6430387864622045</v>
      </c>
      <c r="AB26" s="3">
        <f ca="1">Z26*(Y26*MeanWindAngle!M$26-AA26)</f>
        <v>387234.87068633916</v>
      </c>
      <c r="AC26" s="3">
        <f t="shared" ca="1" si="4"/>
        <v>150000</v>
      </c>
      <c r="AE26" s="88">
        <v>22</v>
      </c>
      <c r="AF26" s="3">
        <f ca="1">MIN(Performance!$C$45,4/18*(Scenarios!$D$68*COS(Performance!$C$44))^3/Performance!$C$46^2*rho*Scenarios!$D$20*(AE26*MeanWindAngle!$M$26)^2)</f>
        <v>34020.000000000007</v>
      </c>
      <c r="AG26" s="14">
        <f ca="1">Performance!$C$46/(Scenarios!$D$68*COS(Performance!$C$44))^1.5*SQRT(AF26/(0.5*rho*Scenarios!$D$20))*MeanWindAngle!$P$28</f>
        <v>8.6430387864622045</v>
      </c>
      <c r="AH26" s="3">
        <f ca="1">AF26*(AE26*MeanWindAngle!$M$26-AG26)</f>
        <v>387234.87068633916</v>
      </c>
      <c r="AI26" s="3">
        <f ca="1">MIN(AH26*Performance!AG105,P*1000)</f>
        <v>150000</v>
      </c>
      <c r="AK26" s="88">
        <v>22</v>
      </c>
      <c r="AL26" s="3"/>
      <c r="AM26" s="14"/>
      <c r="AN26" s="3"/>
      <c r="AO26" s="3"/>
    </row>
    <row r="27" spans="1:41" x14ac:dyDescent="0.3">
      <c r="A27" s="88">
        <v>23</v>
      </c>
      <c r="B27" s="4">
        <f ca="1">MIN(Performance!$C$45,4/18*(Scenarios!$D$68*COS(Performance!$C$44))^3/Performance!$C$46^2*rho*Scenarios!$D$20*(A27*COS(Scenarios!$D$84))^2)</f>
        <v>34020.000000000007</v>
      </c>
      <c r="C27" s="5">
        <f ca="1">Performance!C$46/(Scenarios!D$68*COS(Performance!C$44))^1.5*SQRT(B27/(0.5*rho*Scenarios!D$20))</f>
        <v>7.7695936635784895</v>
      </c>
      <c r="D27" s="3">
        <f ca="1">B27*(A27*COS(Scenarios!D$84)-C27)</f>
        <v>501039.79523523344</v>
      </c>
      <c r="E27" s="3">
        <f t="shared" ca="1" si="0"/>
        <v>150000</v>
      </c>
      <c r="F27">
        <f ca="1">2/3*M27*COS(Scenarios!$D$84)</f>
        <v>14.998263211251686</v>
      </c>
      <c r="G27" s="88">
        <v>23</v>
      </c>
      <c r="H27" s="4">
        <f ca="1">MIN(Performance!C$45,4/9*Scenarios!D$68^3/Performance!C$46^2*0.5*rho*Scenarios!D$20*G27^2)</f>
        <v>34020.000000000007</v>
      </c>
      <c r="I27" s="2">
        <f ca="1">Performance!C$46/Scenarios!D$68^1.5*SQRT(H27/(0.5*rho*Scenarios!D$20))</f>
        <v>7.5553647670139519</v>
      </c>
      <c r="J27" s="3">
        <f t="shared" ca="1" si="5"/>
        <v>525426.49062618543</v>
      </c>
      <c r="K27" s="3">
        <f t="shared" ca="1" si="1"/>
        <v>150000</v>
      </c>
      <c r="M27" s="88">
        <v>23</v>
      </c>
      <c r="N27" s="4">
        <f ca="1">MIN(Performance!C$45,4/9*Scenarios!D$68^3/Performance!C$46^2*0.5*rho*Scenarios!D$20*(M27*COS(Scenarios!D$75))^2)</f>
        <v>34020.000000000007</v>
      </c>
      <c r="O27" s="2">
        <f ca="1">(Performance!C$46/Scenarios!D$68^(3/2))*SQRT(N27/(0.5*rho*Scenarios!D$20))</f>
        <v>7.5553647670139519</v>
      </c>
      <c r="P27" s="3">
        <f ca="1">N27*(M27*COS(Scenarios!D$75)-O27)</f>
        <v>468450.76947051391</v>
      </c>
      <c r="Q27" s="3">
        <f t="shared" ca="1" si="2"/>
        <v>150000</v>
      </c>
      <c r="R27">
        <f ca="1">2/3*M27*COS(Scenarios!$D$75)</f>
        <v>14.216819103357405</v>
      </c>
      <c r="S27" s="88">
        <v>23</v>
      </c>
      <c r="T27" s="3">
        <f ca="1">MIN(Performance!$C$45,4/18*(Scenarios!$D$68*COS(Performance!$C$44))^3/Performance!$C$46^2*rho*Scenarios!$D$20*(S27*MeanWindAngle!$M$26)^2)</f>
        <v>34020.000000000007</v>
      </c>
      <c r="U27" s="13">
        <f ca="1">Performance!$C$46/(Scenarios!$D$68*COS(Performance!$C$44))^1.5*SQRT(T27/(0.5*rho*Scenarios!$D$20))</f>
        <v>7.7695936635784895</v>
      </c>
      <c r="V27" s="3">
        <f ca="1">T27*(S27*MeanWindAngle!M$26-U27)</f>
        <v>447916.33968510595</v>
      </c>
      <c r="W27" s="3">
        <f t="shared" ca="1" si="3"/>
        <v>150000</v>
      </c>
      <c r="X27">
        <f ca="1">2/3*S27*MeanWindAngle!M$26</f>
        <v>13.957239194984247</v>
      </c>
      <c r="Y27" s="88">
        <v>23</v>
      </c>
      <c r="Z27" s="3">
        <f ca="1">MIN(Performance!$C$45,4/18*(Scenarios!$D$68*COS(Performance!$C$44))^3/Performance!$C$46^2*rho*Scenarios!$D$20*(Y27*MeanWindAngle!$M$26)^2)</f>
        <v>34020.000000000007</v>
      </c>
      <c r="AA27" s="14">
        <f ca="1">Performance!$C$46/(Scenarios!$D$68*COS(Performance!$C$44))^1.5*SQRT(Z27/(0.5*rho*Scenarios!$D$20))*MeanWindAngle!$P$28</f>
        <v>8.6430387864622045</v>
      </c>
      <c r="AB27" s="3">
        <f ca="1">Z27*(Y27*MeanWindAngle!M$26-AA27)</f>
        <v>418201.73660460202</v>
      </c>
      <c r="AC27" s="3">
        <f t="shared" ca="1" si="4"/>
        <v>150000</v>
      </c>
      <c r="AE27" s="88">
        <v>23</v>
      </c>
      <c r="AF27" s="3">
        <f ca="1">MIN(Performance!$C$45,4/18*(Scenarios!$D$68*COS(Performance!$C$44))^3/Performance!$C$46^2*rho*Scenarios!$D$20*(AE27*MeanWindAngle!$M$26)^2)</f>
        <v>34020.000000000007</v>
      </c>
      <c r="AG27" s="14">
        <f ca="1">Performance!$C$46/(Scenarios!$D$68*COS(Performance!$C$44))^1.5*SQRT(AF27/(0.5*rho*Scenarios!$D$20))*MeanWindAngle!$P$28</f>
        <v>8.6430387864622045</v>
      </c>
      <c r="AH27" s="3">
        <f ca="1">AF27*(AE27*MeanWindAngle!$M$26-AG27)</f>
        <v>418201.73660460202</v>
      </c>
      <c r="AI27" s="3">
        <f ca="1">MIN(AH27*Performance!AG106,P*1000)</f>
        <v>150000</v>
      </c>
      <c r="AK27" s="88">
        <v>23</v>
      </c>
      <c r="AL27" s="3"/>
      <c r="AM27" s="14"/>
      <c r="AN27" s="3"/>
      <c r="AO27" s="3"/>
    </row>
    <row r="28" spans="1:41" x14ac:dyDescent="0.3">
      <c r="A28" s="88">
        <v>24</v>
      </c>
      <c r="B28" s="4">
        <f ca="1">MIN(Performance!$C$45,4/18*(Scenarios!$D$68*COS(Performance!$C$44))^3/Performance!$C$46^2*rho*Scenarios!$D$20*(A28*COS(Scenarios!$D$84))^2)</f>
        <v>34020.000000000007</v>
      </c>
      <c r="C28" s="5">
        <f ca="1">Performance!C$46/(Scenarios!D$68*COS(Performance!C$44))^1.5*SQRT(B28/(0.5*rho*Scenarios!D$20))</f>
        <v>7.7695936635784895</v>
      </c>
      <c r="D28" s="3">
        <f ca="1">B28*(A28*COS(Scenarios!D$84)-C28)</f>
        <v>534316.37661219749</v>
      </c>
      <c r="E28" s="3">
        <f t="shared" ca="1" si="0"/>
        <v>150000</v>
      </c>
      <c r="F28">
        <f ca="1">2/3*M28*COS(Scenarios!$D$84)</f>
        <v>15.650361611740891</v>
      </c>
      <c r="G28" s="88">
        <v>24</v>
      </c>
      <c r="H28" s="4">
        <f ca="1">MIN(Performance!C$45,4/9*Scenarios!D$68^3/Performance!C$46^2*0.5*rho*Scenarios!D$20*G28^2)</f>
        <v>34020.000000000007</v>
      </c>
      <c r="I28" s="2">
        <f ca="1">Performance!C$46/Scenarios!D$68^1.5*SQRT(H28/(0.5*rho*Scenarios!D$20))</f>
        <v>7.5553647670139519</v>
      </c>
      <c r="J28" s="3">
        <f t="shared" ca="1" si="5"/>
        <v>559446.49062618543</v>
      </c>
      <c r="K28" s="3">
        <f t="shared" ca="1" si="1"/>
        <v>150000</v>
      </c>
      <c r="M28" s="88">
        <v>24</v>
      </c>
      <c r="N28" s="4">
        <f ca="1">MIN(Performance!C$45,4/9*Scenarios!D$68^3/Performance!C$46^2*0.5*rho*Scenarios!D$20*(M28*COS(Scenarios!D$75))^2)</f>
        <v>34020.000000000007</v>
      </c>
      <c r="O28" s="2">
        <f ca="1">(Performance!C$46/Scenarios!D$68^(3/2))*SQRT(N28/(0.5*rho*Scenarios!D$20))</f>
        <v>7.5553647670139519</v>
      </c>
      <c r="P28" s="3">
        <f ca="1">N28*(M28*COS(Scenarios!D$75)-O28)</f>
        <v>499993.56420287606</v>
      </c>
      <c r="Q28" s="3">
        <f t="shared" ca="1" si="2"/>
        <v>150000</v>
      </c>
      <c r="R28">
        <f ca="1">2/3*M28*COS(Scenarios!$D$75)</f>
        <v>14.834941673068599</v>
      </c>
      <c r="S28" s="88">
        <v>24</v>
      </c>
      <c r="T28" s="3">
        <f ca="1">MIN(Performance!$C$45,4/18*(Scenarios!$D$68*COS(Performance!$C$44))^3/Performance!$C$46^2*rho*Scenarios!$D$20*(S28*MeanWindAngle!$M$26)^2)</f>
        <v>34020.000000000007</v>
      </c>
      <c r="U28" s="13">
        <f ca="1">Performance!$C$46/(Scenarios!$D$68*COS(Performance!$C$44))^1.5*SQRT(T28/(0.5*rho*Scenarios!$D$20))</f>
        <v>7.7695936635784895</v>
      </c>
      <c r="V28" s="3">
        <f ca="1">T28*(S28*MeanWindAngle!M$26-U28)</f>
        <v>478883.20560336893</v>
      </c>
      <c r="W28" s="3">
        <f t="shared" ca="1" si="3"/>
        <v>150000</v>
      </c>
      <c r="X28">
        <f ca="1">2/3*S28*MeanWindAngle!M$26</f>
        <v>14.564075681722693</v>
      </c>
      <c r="Y28" s="88">
        <v>24</v>
      </c>
      <c r="Z28" s="3">
        <f ca="1">MIN(Performance!$C$45,4/18*(Scenarios!$D$68*COS(Performance!$C$44))^3/Performance!$C$46^2*rho*Scenarios!$D$20*(Y28*MeanWindAngle!$M$26)^2)</f>
        <v>34020.000000000007</v>
      </c>
      <c r="AA28" s="14">
        <f ca="1">Performance!$C$46/(Scenarios!$D$68*COS(Performance!$C$44))^1.5*SQRT(Z28/(0.5*rho*Scenarios!$D$20))*MeanWindAngle!$P$28</f>
        <v>8.6430387864622045</v>
      </c>
      <c r="AB28" s="3">
        <f ca="1">Z28*(Y28*MeanWindAngle!M$26-AA28)</f>
        <v>449168.602522865</v>
      </c>
      <c r="AC28" s="3">
        <f t="shared" ca="1" si="4"/>
        <v>150000</v>
      </c>
      <c r="AE28" s="88">
        <v>24</v>
      </c>
      <c r="AF28" s="3">
        <f ca="1">MIN(Performance!$C$45,4/18*(Scenarios!$D$68*COS(Performance!$C$44))^3/Performance!$C$46^2*rho*Scenarios!$D$20*(AE28*MeanWindAngle!$M$26)^2)</f>
        <v>34020.000000000007</v>
      </c>
      <c r="AG28" s="14">
        <f ca="1">Performance!$C$46/(Scenarios!$D$68*COS(Performance!$C$44))^1.5*SQRT(AF28/(0.5*rho*Scenarios!$D$20))*MeanWindAngle!$P$28</f>
        <v>8.6430387864622045</v>
      </c>
      <c r="AH28" s="3">
        <f ca="1">AF28*(AE28*MeanWindAngle!$M$26-AG28)</f>
        <v>449168.602522865</v>
      </c>
      <c r="AI28" s="3">
        <f ca="1">MIN(AH28*Performance!AG107,P*1000)</f>
        <v>150000</v>
      </c>
      <c r="AK28" s="88">
        <v>24</v>
      </c>
      <c r="AL28" s="3"/>
      <c r="AM28" s="14"/>
      <c r="AN28" s="3"/>
      <c r="AO28" s="3"/>
    </row>
    <row r="29" spans="1:41" x14ac:dyDescent="0.3">
      <c r="A29" s="88">
        <v>25</v>
      </c>
      <c r="B29" s="4">
        <f ca="1">MIN(Performance!$C$45,4/18*(Scenarios!$D$68*COS(Performance!$C$44))^3/Performance!$C$46^2*rho*Scenarios!$D$20*(A29*COS(Scenarios!$D$84))^2)</f>
        <v>34020.000000000007</v>
      </c>
      <c r="C29" s="5">
        <f ca="1">Performance!C$46/(Scenarios!D$68*COS(Performance!C$44))^1.5*SQRT(B29/(0.5*rho*Scenarios!D$20))</f>
        <v>7.7695936635784895</v>
      </c>
      <c r="D29" s="3">
        <f ca="1">B29*(A29*COS(Scenarios!D$84)-C29)</f>
        <v>567592.9579891616</v>
      </c>
      <c r="E29" s="3">
        <f t="shared" ca="1" si="0"/>
        <v>150000</v>
      </c>
      <c r="F29">
        <f ca="1">2/3*M29*COS(Scenarios!$D$84)</f>
        <v>16.302460012230092</v>
      </c>
      <c r="G29" s="88">
        <v>25</v>
      </c>
      <c r="H29" s="4">
        <f ca="1">MIN(Performance!C$45,4/9*Scenarios!D$68^3/Performance!C$46^2*0.5*rho*Scenarios!D$20*G29^2)</f>
        <v>34020.000000000007</v>
      </c>
      <c r="I29" s="2">
        <f ca="1">Performance!C$46/Scenarios!D$68^1.5*SQRT(H29/(0.5*rho*Scenarios!D$20))</f>
        <v>7.5553647670139519</v>
      </c>
      <c r="J29" s="3">
        <f t="shared" ca="1" si="5"/>
        <v>593466.49062618543</v>
      </c>
      <c r="K29" s="3">
        <f t="shared" ca="1" si="1"/>
        <v>150000</v>
      </c>
      <c r="M29" s="88">
        <v>25</v>
      </c>
      <c r="N29" s="4">
        <f ca="1">MIN(Performance!C$45,4/9*Scenarios!D$68^3/Performance!C$46^2*0.5*rho*Scenarios!D$20*(M29*COS(Scenarios!D$75))^2)</f>
        <v>34020.000000000007</v>
      </c>
      <c r="O29" s="2">
        <f ca="1">(Performance!C$46/Scenarios!D$68^(3/2))*SQRT(N29/(0.5*rho*Scenarios!D$20))</f>
        <v>7.5553647670139519</v>
      </c>
      <c r="P29" s="3">
        <f ca="1">N29*(M29*COS(Scenarios!D$75)-O29)</f>
        <v>531536.35893523821</v>
      </c>
      <c r="Q29" s="3">
        <f t="shared" ca="1" si="2"/>
        <v>150000</v>
      </c>
      <c r="R29">
        <f ca="1">2/3*M29*COS(Scenarios!$D$75)</f>
        <v>15.453064242779789</v>
      </c>
      <c r="S29" s="88">
        <v>25</v>
      </c>
      <c r="T29" s="3">
        <f ca="1">MIN(Performance!$C$45,4/18*(Scenarios!$D$68*COS(Performance!$C$44))^3/Performance!$C$46^2*rho*Scenarios!$D$20*(S29*MeanWindAngle!$M$26)^2)</f>
        <v>34020.000000000007</v>
      </c>
      <c r="U29" s="13">
        <f ca="1">Performance!$C$46/(Scenarios!$D$68*COS(Performance!$C$44))^1.5*SQRT(T29/(0.5*rho*Scenarios!$D$20))</f>
        <v>7.7695936635784895</v>
      </c>
      <c r="V29" s="3">
        <f ca="1">T29*(S29*MeanWindAngle!M$26-U29)</f>
        <v>509850.07152163179</v>
      </c>
      <c r="W29" s="3">
        <f t="shared" ca="1" si="3"/>
        <v>150000</v>
      </c>
      <c r="X29">
        <f ca="1">2/3*S29*MeanWindAngle!M$26</f>
        <v>15.170912168461136</v>
      </c>
      <c r="Y29" s="88">
        <v>25</v>
      </c>
      <c r="Z29" s="3">
        <f ca="1">MIN(Performance!$C$45,4/18*(Scenarios!$D$68*COS(Performance!$C$44))^3/Performance!$C$46^2*rho*Scenarios!$D$20*(Y29*MeanWindAngle!$M$26)^2)</f>
        <v>34020.000000000007</v>
      </c>
      <c r="AA29" s="14">
        <f ca="1">Performance!$C$46/(Scenarios!$D$68*COS(Performance!$C$44))^1.5*SQRT(Z29/(0.5*rho*Scenarios!$D$20))*MeanWindAngle!$P$28</f>
        <v>8.6430387864622045</v>
      </c>
      <c r="AB29" s="3">
        <f ca="1">Z29*(Y29*MeanWindAngle!M$26-AA29)</f>
        <v>480135.4684411278</v>
      </c>
      <c r="AC29" s="3">
        <f t="shared" ca="1" si="4"/>
        <v>150000</v>
      </c>
      <c r="AE29" s="88">
        <v>25</v>
      </c>
      <c r="AF29" s="3">
        <f ca="1">MIN(Performance!$C$45,4/18*(Scenarios!$D$68*COS(Performance!$C$44))^3/Performance!$C$46^2*rho*Scenarios!$D$20*(AE29*MeanWindAngle!$M$26)^2)</f>
        <v>34020.000000000007</v>
      </c>
      <c r="AG29" s="14">
        <f ca="1">Performance!$C$46/(Scenarios!$D$68*COS(Performance!$C$44))^1.5*SQRT(AF29/(0.5*rho*Scenarios!$D$20))*MeanWindAngle!$P$28</f>
        <v>8.6430387864622045</v>
      </c>
      <c r="AH29" s="3">
        <f ca="1">AF29*(AE29*MeanWindAngle!$M$26-AG29)</f>
        <v>480135.4684411278</v>
      </c>
      <c r="AI29" s="3">
        <f ca="1">MIN(AH29*Performance!AG108,P*1000)</f>
        <v>150000</v>
      </c>
      <c r="AK29" s="88">
        <v>25</v>
      </c>
      <c r="AL29" s="3"/>
      <c r="AM29" s="14"/>
      <c r="AN29" s="3"/>
      <c r="AO29" s="3"/>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H542"/>
  <sheetViews>
    <sheetView zoomScale="80" zoomScaleNormal="80" workbookViewId="0">
      <selection activeCell="L105" sqref="L105"/>
    </sheetView>
  </sheetViews>
  <sheetFormatPr defaultRowHeight="15" x14ac:dyDescent="0.3"/>
  <cols>
    <col min="1" max="1" width="46.375" customWidth="1"/>
    <col min="2" max="2" width="13.875" customWidth="1"/>
    <col min="3" max="3" width="16.375" customWidth="1"/>
    <col min="4" max="4" width="13" customWidth="1"/>
    <col min="5" max="14" width="17.375" customWidth="1"/>
    <col min="15" max="17" width="17.625" customWidth="1"/>
  </cols>
  <sheetData>
    <row r="1" spans="1:5" ht="21" x14ac:dyDescent="0.3">
      <c r="A1" s="1321" t="s">
        <v>1494</v>
      </c>
    </row>
    <row r="3" spans="1:5" x14ac:dyDescent="0.3">
      <c r="A3" s="1584" t="s">
        <v>1495</v>
      </c>
      <c r="B3" s="1585" t="s">
        <v>892</v>
      </c>
      <c r="C3" s="1585" t="s">
        <v>282</v>
      </c>
      <c r="D3" s="1585" t="s">
        <v>288</v>
      </c>
      <c r="E3" s="1585" t="s">
        <v>1069</v>
      </c>
    </row>
    <row r="4" spans="1:5" ht="16.5" x14ac:dyDescent="0.3">
      <c r="A4" s="43" t="s">
        <v>445</v>
      </c>
      <c r="B4" t="s">
        <v>747</v>
      </c>
      <c r="C4" s="1714">
        <f ca="1">'LCOE analysis'!D18</f>
        <v>15.865899652091185</v>
      </c>
    </row>
    <row r="5" spans="1:5" ht="16.5" x14ac:dyDescent="0.3">
      <c r="A5" s="43" t="s">
        <v>21</v>
      </c>
      <c r="B5" t="s">
        <v>415</v>
      </c>
      <c r="C5" s="1714">
        <f ca="1">'LCOE analysis'!D19</f>
        <v>0.40220801713922949</v>
      </c>
    </row>
    <row r="6" spans="1:5" ht="16.5" x14ac:dyDescent="0.3">
      <c r="A6" s="43" t="s">
        <v>815</v>
      </c>
      <c r="B6" t="s">
        <v>816</v>
      </c>
      <c r="C6" s="1714">
        <f ca="1">'LCOE analysis'!D20</f>
        <v>3525.7554782424859</v>
      </c>
    </row>
    <row r="7" spans="1:5" ht="16.5" x14ac:dyDescent="0.3">
      <c r="A7" s="43" t="s">
        <v>623</v>
      </c>
      <c r="B7" t="s">
        <v>745</v>
      </c>
      <c r="C7" s="1714">
        <f ca="1">'LCOE analysis'!D21</f>
        <v>1.5511598629925116</v>
      </c>
    </row>
    <row r="9" spans="1:5" ht="16.5" x14ac:dyDescent="0.3">
      <c r="A9" s="43" t="s">
        <v>1496</v>
      </c>
      <c r="B9" t="s">
        <v>717</v>
      </c>
      <c r="C9" s="1716">
        <f ca="1">'LCOE analysis'!H9</f>
        <v>2.4592512882426636</v>
      </c>
    </row>
    <row r="10" spans="1:5" ht="16.5" x14ac:dyDescent="0.3">
      <c r="A10" s="43" t="s">
        <v>1497</v>
      </c>
      <c r="B10" t="s">
        <v>717</v>
      </c>
      <c r="C10" s="1716">
        <f ca="1">'LCOE analysis'!H10</f>
        <v>6.7532274301514705E-2</v>
      </c>
    </row>
    <row r="11" spans="1:5" ht="16.5" x14ac:dyDescent="0.3">
      <c r="A11" s="43" t="s">
        <v>1498</v>
      </c>
      <c r="B11" t="s">
        <v>717</v>
      </c>
      <c r="C11" s="1716">
        <f ca="1">'LCOE analysis'!H11</f>
        <v>2.9854113491784893</v>
      </c>
    </row>
    <row r="12" spans="1:5" ht="16.5" x14ac:dyDescent="0.3">
      <c r="A12" s="43" t="s">
        <v>1499</v>
      </c>
      <c r="B12" t="s">
        <v>717</v>
      </c>
      <c r="C12" s="1716">
        <f ca="1">'LCOE analysis'!H12</f>
        <v>2.0804780700067611</v>
      </c>
    </row>
    <row r="13" spans="1:5" ht="16.5" x14ac:dyDescent="0.3">
      <c r="A13" s="43" t="s">
        <v>513</v>
      </c>
      <c r="B13" t="s">
        <v>717</v>
      </c>
      <c r="C13" s="1716">
        <f ca="1">'LCOE analysis'!H13</f>
        <v>7.5926729817294287</v>
      </c>
    </row>
    <row r="14" spans="1:5" ht="16.5" x14ac:dyDescent="0.3">
      <c r="A14" s="43" t="s">
        <v>1500</v>
      </c>
      <c r="B14" t="s">
        <v>717</v>
      </c>
      <c r="C14" s="1716">
        <f ca="1">'LCOE analysis'!H14</f>
        <v>0.19963725451724446</v>
      </c>
    </row>
    <row r="15" spans="1:5" ht="16.5" x14ac:dyDescent="0.3">
      <c r="A15" s="43" t="s">
        <v>1501</v>
      </c>
      <c r="B15" t="s">
        <v>717</v>
      </c>
      <c r="C15" s="1716">
        <f ca="1">'LCOE analysis'!H15</f>
        <v>2.167440790320438</v>
      </c>
    </row>
    <row r="16" spans="1:5" ht="16.5" x14ac:dyDescent="0.3">
      <c r="A16" s="43" t="s">
        <v>1502</v>
      </c>
      <c r="B16" t="s">
        <v>717</v>
      </c>
      <c r="C16" s="1716">
        <f ca="1">'LCOE analysis'!H16</f>
        <v>0.94921041041665855</v>
      </c>
    </row>
    <row r="17" spans="1:5" ht="16.5" x14ac:dyDescent="0.3">
      <c r="A17" s="43" t="s">
        <v>650</v>
      </c>
      <c r="B17" t="s">
        <v>717</v>
      </c>
      <c r="C17" s="1716">
        <f ca="1">'LCOE analysis'!H17</f>
        <v>3.316288455254341</v>
      </c>
    </row>
    <row r="18" spans="1:5" ht="16.5" x14ac:dyDescent="0.3">
      <c r="A18" s="43" t="s">
        <v>1510</v>
      </c>
      <c r="B18" t="s">
        <v>717</v>
      </c>
      <c r="C18" s="1716">
        <f ca="1">'LCOE analysis'!H18</f>
        <v>10.90896143698377</v>
      </c>
    </row>
    <row r="19" spans="1:5" x14ac:dyDescent="0.3">
      <c r="A19" s="43"/>
    </row>
    <row r="20" spans="1:5" x14ac:dyDescent="0.3">
      <c r="A20" s="43"/>
    </row>
    <row r="21" spans="1:5" ht="16.5" x14ac:dyDescent="0.3">
      <c r="A21" s="43" t="s">
        <v>1503</v>
      </c>
      <c r="B21" t="s">
        <v>1512</v>
      </c>
      <c r="C21" s="1716">
        <f ca="1">'LCOE analysis'!I21</f>
        <v>0.12802059816081912</v>
      </c>
      <c r="E21" s="25"/>
    </row>
    <row r="22" spans="1:5" ht="16.5" x14ac:dyDescent="0.3">
      <c r="A22" s="43" t="s">
        <v>1504</v>
      </c>
      <c r="B22" t="s">
        <v>1512</v>
      </c>
      <c r="C22" s="1716">
        <f ca="1">'LCOE analysis'!I22</f>
        <v>3.193064335388273E-2</v>
      </c>
      <c r="E22" s="25"/>
    </row>
    <row r="23" spans="1:5" ht="16.5" x14ac:dyDescent="0.3">
      <c r="A23" s="43" t="s">
        <v>1505</v>
      </c>
      <c r="B23" t="s">
        <v>1512</v>
      </c>
      <c r="C23" s="1716">
        <f ca="1">'LCOE analysis'!I23</f>
        <v>2.8259376837179766E-2</v>
      </c>
      <c r="E23" s="25"/>
    </row>
    <row r="24" spans="1:5" ht="16.5" x14ac:dyDescent="0.3">
      <c r="A24" s="43" t="s">
        <v>1506</v>
      </c>
      <c r="B24" t="s">
        <v>1512</v>
      </c>
      <c r="C24" s="1716">
        <f ca="1">'LCOE analysis'!I24</f>
        <v>2.047957897172728E-2</v>
      </c>
      <c r="E24" s="25"/>
    </row>
    <row r="25" spans="1:5" ht="16.5" x14ac:dyDescent="0.3">
      <c r="A25" s="43" t="s">
        <v>999</v>
      </c>
      <c r="B25" t="s">
        <v>1512</v>
      </c>
      <c r="C25" s="1716">
        <f ca="1">'LCOE analysis'!I25</f>
        <v>0.20869019732360888</v>
      </c>
      <c r="E25" s="25"/>
    </row>
    <row r="26" spans="1:5" ht="16.5" x14ac:dyDescent="0.3">
      <c r="A26" s="43" t="s">
        <v>651</v>
      </c>
      <c r="B26" t="s">
        <v>1512</v>
      </c>
      <c r="C26" s="1716">
        <f ca="1">'LCOE analysis'!I26</f>
        <v>3.6134380312121385E-2</v>
      </c>
      <c r="E26" s="25"/>
    </row>
    <row r="27" spans="1:5" ht="16.5" x14ac:dyDescent="0.3">
      <c r="A27" s="43" t="s">
        <v>1507</v>
      </c>
      <c r="B27" t="s">
        <v>1512</v>
      </c>
      <c r="C27" s="1716">
        <f ca="1">'LCOE analysis'!I27</f>
        <v>0</v>
      </c>
      <c r="E27" s="25"/>
    </row>
    <row r="28" spans="1:5" ht="16.5" x14ac:dyDescent="0.3">
      <c r="A28" s="43" t="s">
        <v>1508</v>
      </c>
      <c r="B28" t="s">
        <v>1512</v>
      </c>
      <c r="C28" s="1716">
        <f ca="1">'LCOE analysis'!I28</f>
        <v>0</v>
      </c>
      <c r="E28" s="25"/>
    </row>
    <row r="29" spans="1:5" ht="16.5" x14ac:dyDescent="0.3">
      <c r="A29" s="43" t="s">
        <v>1000</v>
      </c>
      <c r="B29" t="s">
        <v>1512</v>
      </c>
      <c r="C29" s="1716">
        <f ca="1">'LCOE analysis'!I29</f>
        <v>3.6134380312121385E-2</v>
      </c>
      <c r="E29" s="25"/>
    </row>
    <row r="30" spans="1:5" ht="16.5" x14ac:dyDescent="0.3">
      <c r="A30" s="43" t="s">
        <v>1509</v>
      </c>
      <c r="B30" t="s">
        <v>1512</v>
      </c>
      <c r="C30" s="1716">
        <f ca="1">'LCOE analysis'!I30</f>
        <v>0.24482457763573026</v>
      </c>
      <c r="E30" s="25"/>
    </row>
    <row r="31" spans="1:5" x14ac:dyDescent="0.3">
      <c r="A31" s="43"/>
    </row>
    <row r="32" spans="1:5" ht="16.5" x14ac:dyDescent="0.3">
      <c r="A32" s="43" t="s">
        <v>844</v>
      </c>
      <c r="B32" t="s">
        <v>439</v>
      </c>
      <c r="C32" s="1716">
        <f ca="1">'LCOE analysis'!J32</f>
        <v>91.179438951817573</v>
      </c>
    </row>
    <row r="33" spans="1:3" ht="16.5" x14ac:dyDescent="0.3">
      <c r="A33" s="43" t="s">
        <v>845</v>
      </c>
      <c r="B33" t="s">
        <v>439</v>
      </c>
      <c r="C33" s="1716">
        <f ca="1">'LCOE analysis'!J33</f>
        <v>5.27212552397644</v>
      </c>
    </row>
    <row r="34" spans="1:3" ht="16.5" x14ac:dyDescent="0.3">
      <c r="A34" s="43" t="s">
        <v>846</v>
      </c>
      <c r="B34" t="s">
        <v>439</v>
      </c>
      <c r="C34" s="1716">
        <f ca="1">'LCOE analysis'!J34</f>
        <v>1.3153379379662391</v>
      </c>
    </row>
    <row r="35" spans="1:3" ht="16.5" x14ac:dyDescent="0.3">
      <c r="A35" s="43" t="s">
        <v>847</v>
      </c>
      <c r="B35" t="s">
        <v>439</v>
      </c>
      <c r="C35" s="1716">
        <f ca="1">'LCOE analysis'!J35</f>
        <v>97.766902413760249</v>
      </c>
    </row>
    <row r="36" spans="1:3" ht="16.5" x14ac:dyDescent="0.3">
      <c r="A36" s="43" t="s">
        <v>1153</v>
      </c>
      <c r="B36" t="s">
        <v>439</v>
      </c>
      <c r="C36" s="1716">
        <f ca="1">'LCOE analysis'!J36</f>
        <v>57.993380763740845</v>
      </c>
    </row>
    <row r="37" spans="1:3" ht="16.5" x14ac:dyDescent="0.3">
      <c r="A37" s="43" t="s">
        <v>1511</v>
      </c>
      <c r="B37" t="s">
        <v>439</v>
      </c>
      <c r="C37" s="1716">
        <f ca="1">'LCOE analysis'!J37</f>
        <v>23.027317325383343</v>
      </c>
    </row>
    <row r="38" spans="1:3" ht="16.5" x14ac:dyDescent="0.3">
      <c r="A38" s="43" t="s">
        <v>1154</v>
      </c>
      <c r="B38" t="s">
        <v>439</v>
      </c>
      <c r="C38" s="1716">
        <f ca="1">'LCOE analysis'!J38</f>
        <v>16.746204324636061</v>
      </c>
    </row>
    <row r="40" spans="1:3" ht="16.5" x14ac:dyDescent="0.3">
      <c r="A40" s="43" t="s">
        <v>1465</v>
      </c>
      <c r="B40" t="s">
        <v>73</v>
      </c>
      <c r="C40" s="1713">
        <f ca="1">Performance!AJ83</f>
        <v>0</v>
      </c>
    </row>
    <row r="41" spans="1:3" ht="16.5" x14ac:dyDescent="0.3">
      <c r="A41" s="43" t="s">
        <v>1466</v>
      </c>
      <c r="B41" t="s">
        <v>73</v>
      </c>
      <c r="C41" s="1713">
        <f ca="1">Performance!AJ84</f>
        <v>0</v>
      </c>
    </row>
    <row r="42" spans="1:3" ht="16.5" x14ac:dyDescent="0.3">
      <c r="A42" s="43" t="s">
        <v>1467</v>
      </c>
      <c r="B42" t="s">
        <v>73</v>
      </c>
      <c r="C42" s="1713">
        <f ca="1">Performance!AJ85</f>
        <v>0</v>
      </c>
    </row>
    <row r="43" spans="1:3" ht="16.5" x14ac:dyDescent="0.3">
      <c r="A43" s="43" t="s">
        <v>1442</v>
      </c>
      <c r="B43" t="s">
        <v>73</v>
      </c>
      <c r="C43" s="1713">
        <f ca="1">Performance!AJ86</f>
        <v>788.06819941360129</v>
      </c>
    </row>
    <row r="44" spans="1:3" ht="16.5" x14ac:dyDescent="0.3">
      <c r="A44" s="43" t="s">
        <v>1443</v>
      </c>
      <c r="B44" t="s">
        <v>73</v>
      </c>
      <c r="C44" s="1713">
        <f ca="1">Performance!AJ87</f>
        <v>2602.942013361444</v>
      </c>
    </row>
    <row r="45" spans="1:3" ht="16.5" x14ac:dyDescent="0.3">
      <c r="A45" s="43" t="s">
        <v>1444</v>
      </c>
      <c r="B45" t="s">
        <v>73</v>
      </c>
      <c r="C45" s="1713">
        <f ca="1">Performance!AJ88</f>
        <v>5484.0649007200518</v>
      </c>
    </row>
    <row r="46" spans="1:3" ht="16.5" x14ac:dyDescent="0.3">
      <c r="A46" s="43" t="s">
        <v>1445</v>
      </c>
      <c r="B46" t="s">
        <v>73</v>
      </c>
      <c r="C46" s="1713">
        <f ca="1">Performance!AJ89</f>
        <v>9787.2132326591363</v>
      </c>
    </row>
    <row r="47" spans="1:3" ht="16.5" x14ac:dyDescent="0.3">
      <c r="A47" s="43" t="s">
        <v>1446</v>
      </c>
      <c r="B47" t="s">
        <v>73</v>
      </c>
      <c r="C47" s="1713">
        <f ca="1">Performance!AJ90</f>
        <v>15952.825316398403</v>
      </c>
    </row>
    <row r="48" spans="1:3" ht="16.5" x14ac:dyDescent="0.3">
      <c r="A48" s="43" t="s">
        <v>1447</v>
      </c>
      <c r="B48" t="s">
        <v>73</v>
      </c>
      <c r="C48" s="1713">
        <f ca="1">Performance!AJ91</f>
        <v>24192.623078079549</v>
      </c>
    </row>
    <row r="49" spans="1:3" ht="16.5" x14ac:dyDescent="0.3">
      <c r="A49" s="43" t="s">
        <v>1448</v>
      </c>
      <c r="B49" t="s">
        <v>73</v>
      </c>
      <c r="C49" s="1713">
        <f ca="1">Performance!AJ92</f>
        <v>34805.061917592669</v>
      </c>
    </row>
    <row r="50" spans="1:3" ht="16.5" x14ac:dyDescent="0.3">
      <c r="A50" s="43" t="s">
        <v>1449</v>
      </c>
      <c r="B50" t="s">
        <v>73</v>
      </c>
      <c r="C50" s="1713">
        <f ca="1">Performance!AJ93</f>
        <v>48349.546721198167</v>
      </c>
    </row>
    <row r="51" spans="1:3" ht="16.5" x14ac:dyDescent="0.3">
      <c r="A51" s="43" t="s">
        <v>1450</v>
      </c>
      <c r="B51" t="s">
        <v>73</v>
      </c>
      <c r="C51" s="1713">
        <f ca="1">Performance!AJ94</f>
        <v>65095.440204785147</v>
      </c>
    </row>
    <row r="52" spans="1:3" ht="16.5" x14ac:dyDescent="0.3">
      <c r="A52" s="43" t="s">
        <v>1451</v>
      </c>
      <c r="B52" t="s">
        <v>73</v>
      </c>
      <c r="C52" s="1713">
        <f ca="1">Performance!AJ95</f>
        <v>84604.615140985305</v>
      </c>
    </row>
    <row r="53" spans="1:3" ht="16.5" x14ac:dyDescent="0.3">
      <c r="A53" s="43" t="s">
        <v>1452</v>
      </c>
      <c r="B53" t="s">
        <v>73</v>
      </c>
      <c r="C53" s="1713">
        <f ca="1">Performance!AJ96</f>
        <v>106704.84908644634</v>
      </c>
    </row>
    <row r="54" spans="1:3" ht="16.5" x14ac:dyDescent="0.3">
      <c r="A54" s="43" t="s">
        <v>1453</v>
      </c>
      <c r="B54" t="s">
        <v>73</v>
      </c>
      <c r="C54" s="1713">
        <f ca="1">Performance!AJ97</f>
        <v>126165.96458802251</v>
      </c>
    </row>
    <row r="55" spans="1:3" ht="16.5" x14ac:dyDescent="0.3">
      <c r="A55" s="43" t="s">
        <v>1454</v>
      </c>
      <c r="B55" t="s">
        <v>73</v>
      </c>
      <c r="C55" s="1713">
        <f ca="1">Performance!AJ98</f>
        <v>141245.56065043906</v>
      </c>
    </row>
    <row r="56" spans="1:3" ht="16.5" x14ac:dyDescent="0.3">
      <c r="A56" s="43" t="s">
        <v>1455</v>
      </c>
      <c r="B56" t="s">
        <v>73</v>
      </c>
      <c r="C56" s="1713">
        <f ca="1">Performance!AJ99</f>
        <v>149378.38133740137</v>
      </c>
    </row>
    <row r="57" spans="1:3" ht="16.5" x14ac:dyDescent="0.3">
      <c r="A57" s="43" t="s">
        <v>1456</v>
      </c>
      <c r="B57" t="s">
        <v>73</v>
      </c>
      <c r="C57" s="1713">
        <f ca="1">Performance!AJ100</f>
        <v>149114.64793158477</v>
      </c>
    </row>
    <row r="58" spans="1:3" ht="16.5" x14ac:dyDescent="0.3">
      <c r="A58" s="43" t="s">
        <v>1457</v>
      </c>
      <c r="B58" t="s">
        <v>73</v>
      </c>
      <c r="C58" s="1713">
        <f ca="1">Performance!AJ101</f>
        <v>148844.15484499393</v>
      </c>
    </row>
    <row r="59" spans="1:3" ht="16.5" x14ac:dyDescent="0.3">
      <c r="A59" s="43" t="s">
        <v>1458</v>
      </c>
      <c r="B59" t="s">
        <v>73</v>
      </c>
      <c r="C59" s="1713">
        <f ca="1">Performance!AJ102</f>
        <v>148566.96730119389</v>
      </c>
    </row>
    <row r="60" spans="1:3" ht="16.5" x14ac:dyDescent="0.3">
      <c r="A60" s="43" t="s">
        <v>1459</v>
      </c>
      <c r="B60" t="s">
        <v>73</v>
      </c>
      <c r="C60" s="1713">
        <f ca="1">Performance!AJ103</f>
        <v>148283.14406730371</v>
      </c>
    </row>
    <row r="61" spans="1:3" ht="16.5" x14ac:dyDescent="0.3">
      <c r="A61" s="43" t="s">
        <v>1460</v>
      </c>
      <c r="B61" t="s">
        <v>73</v>
      </c>
      <c r="C61" s="1713">
        <f ca="1">Performance!AJ104</f>
        <v>147992.73820602777</v>
      </c>
    </row>
    <row r="62" spans="1:3" ht="16.5" x14ac:dyDescent="0.3">
      <c r="A62" s="43" t="s">
        <v>1461</v>
      </c>
      <c r="B62" t="s">
        <v>73</v>
      </c>
      <c r="C62" s="1713">
        <f ca="1">Performance!AJ105</f>
        <v>147695.79772744249</v>
      </c>
    </row>
    <row r="63" spans="1:3" ht="16.5" x14ac:dyDescent="0.3">
      <c r="A63" s="43" t="s">
        <v>1462</v>
      </c>
      <c r="B63" t="s">
        <v>73</v>
      </c>
      <c r="C63" s="1713">
        <f ca="1">Performance!AJ106</f>
        <v>147392.36615552387</v>
      </c>
    </row>
    <row r="64" spans="1:3" ht="16.5" x14ac:dyDescent="0.3">
      <c r="A64" s="43" t="s">
        <v>1463</v>
      </c>
      <c r="B64" t="s">
        <v>73</v>
      </c>
      <c r="C64" s="1713">
        <f ca="1">Performance!AJ107</f>
        <v>147082.48302192718</v>
      </c>
    </row>
    <row r="65" spans="1:3" ht="16.5" x14ac:dyDescent="0.3">
      <c r="A65" s="43" t="s">
        <v>1464</v>
      </c>
      <c r="B65" t="s">
        <v>73</v>
      </c>
      <c r="C65" s="1713">
        <f ca="1">Performance!AJ108</f>
        <v>146766.18429750297</v>
      </c>
    </row>
    <row r="67" spans="1:3" ht="16.5" x14ac:dyDescent="0.3">
      <c r="A67" s="43" t="s">
        <v>1468</v>
      </c>
      <c r="B67" t="s">
        <v>893</v>
      </c>
      <c r="C67" s="1715">
        <f ca="1">Performance!AM83</f>
        <v>1.4068678709234014E-6</v>
      </c>
    </row>
    <row r="68" spans="1:3" ht="16.5" x14ac:dyDescent="0.3">
      <c r="A68" s="43" t="s">
        <v>1469</v>
      </c>
      <c r="B68" t="s">
        <v>893</v>
      </c>
      <c r="C68" s="1715">
        <f ca="1">Performance!AM84</f>
        <v>1.397006210786607E-2</v>
      </c>
    </row>
    <row r="69" spans="1:3" ht="16.5" x14ac:dyDescent="0.3">
      <c r="A69" s="43" t="s">
        <v>1470</v>
      </c>
      <c r="B69" t="s">
        <v>893</v>
      </c>
      <c r="C69" s="1715">
        <f ca="1">Performance!AM85</f>
        <v>2.7356681126938204E-2</v>
      </c>
    </row>
    <row r="70" spans="1:3" ht="16.5" x14ac:dyDescent="0.3">
      <c r="A70" s="43" t="s">
        <v>1471</v>
      </c>
      <c r="B70" t="s">
        <v>893</v>
      </c>
      <c r="C70" s="1715">
        <f ca="1">Performance!AM86</f>
        <v>3.9616836533432079E-2</v>
      </c>
    </row>
    <row r="71" spans="1:3" ht="16.5" x14ac:dyDescent="0.3">
      <c r="A71" s="43" t="s">
        <v>1472</v>
      </c>
      <c r="B71" t="s">
        <v>893</v>
      </c>
      <c r="C71" s="1715">
        <f ca="1">Performance!AM87</f>
        <v>5.0284450285304247E-2</v>
      </c>
    </row>
    <row r="72" spans="1:3" ht="16.5" x14ac:dyDescent="0.3">
      <c r="A72" s="43" t="s">
        <v>1473</v>
      </c>
      <c r="B72" t="s">
        <v>893</v>
      </c>
      <c r="C72" s="1715">
        <f ca="1">Performance!AM88</f>
        <v>5.8999583642454743E-2</v>
      </c>
    </row>
    <row r="73" spans="1:3" ht="16.5" x14ac:dyDescent="0.3">
      <c r="A73" s="43" t="s">
        <v>1474</v>
      </c>
      <c r="B73" t="s">
        <v>893</v>
      </c>
      <c r="C73" s="1715">
        <f ca="1">Performance!AM89</f>
        <v>6.5527782358787673E-2</v>
      </c>
    </row>
    <row r="74" spans="1:3" ht="16.5" x14ac:dyDescent="0.3">
      <c r="A74" s="43" t="s">
        <v>1475</v>
      </c>
      <c r="B74" t="s">
        <v>893</v>
      </c>
      <c r="C74" s="1715">
        <f ca="1">Performance!AM90</f>
        <v>6.9768211198319746E-2</v>
      </c>
    </row>
    <row r="75" spans="1:3" ht="16.5" x14ac:dyDescent="0.3">
      <c r="A75" s="43" t="s">
        <v>1476</v>
      </c>
      <c r="B75" t="s">
        <v>893</v>
      </c>
      <c r="C75" s="1715">
        <f ca="1">Performance!AM91</f>
        <v>7.175049699459278E-2</v>
      </c>
    </row>
    <row r="76" spans="1:3" ht="16.5" x14ac:dyDescent="0.3">
      <c r="A76" s="43" t="s">
        <v>1477</v>
      </c>
      <c r="B76" t="s">
        <v>893</v>
      </c>
      <c r="C76" s="1715">
        <f ca="1">Performance!AM92</f>
        <v>7.1621409740331723E-2</v>
      </c>
    </row>
    <row r="77" spans="1:3" ht="16.5" x14ac:dyDescent="0.3">
      <c r="A77" s="43" t="s">
        <v>1478</v>
      </c>
      <c r="B77" t="s">
        <v>893</v>
      </c>
      <c r="C77" s="1715">
        <f ca="1">Performance!AM93</f>
        <v>6.962349734526263E-2</v>
      </c>
    </row>
    <row r="78" spans="1:3" ht="16.5" x14ac:dyDescent="0.3">
      <c r="A78" s="43" t="s">
        <v>1479</v>
      </c>
      <c r="B78" t="s">
        <v>893</v>
      </c>
      <c r="C78" s="1715">
        <f ca="1">Performance!AM94</f>
        <v>6.6068439656780442E-2</v>
      </c>
    </row>
    <row r="79" spans="1:3" ht="16.5" x14ac:dyDescent="0.3">
      <c r="A79" s="43" t="s">
        <v>1480</v>
      </c>
      <c r="B79" t="s">
        <v>893</v>
      </c>
      <c r="C79" s="1715">
        <f ca="1">Performance!AM95</f>
        <v>6.130814719652828E-2</v>
      </c>
    </row>
    <row r="80" spans="1:3" ht="16.5" x14ac:dyDescent="0.3">
      <c r="A80" s="43" t="s">
        <v>1481</v>
      </c>
      <c r="B80" t="s">
        <v>893</v>
      </c>
      <c r="C80" s="1715">
        <f ca="1">Performance!AM96</f>
        <v>5.5706507138845042E-2</v>
      </c>
    </row>
    <row r="81" spans="1:3" ht="16.5" x14ac:dyDescent="0.3">
      <c r="A81" s="43" t="s">
        <v>1482</v>
      </c>
      <c r="B81" t="s">
        <v>893</v>
      </c>
      <c r="C81" s="1715">
        <f ca="1">Performance!AM97</f>
        <v>4.9614234300794015E-2</v>
      </c>
    </row>
    <row r="82" spans="1:3" ht="16.5" x14ac:dyDescent="0.3">
      <c r="A82" s="43" t="s">
        <v>1483</v>
      </c>
      <c r="B82" t="s">
        <v>893</v>
      </c>
      <c r="C82" s="1715">
        <f ca="1">Performance!AM98</f>
        <v>4.3348617217417951E-2</v>
      </c>
    </row>
    <row r="83" spans="1:3" ht="16.5" x14ac:dyDescent="0.3">
      <c r="A83" s="43" t="s">
        <v>1484</v>
      </c>
      <c r="B83" t="s">
        <v>893</v>
      </c>
      <c r="C83" s="1715">
        <f ca="1">Performance!AM99</f>
        <v>3.7179175485192825E-2</v>
      </c>
    </row>
    <row r="84" spans="1:3" ht="16.5" x14ac:dyDescent="0.3">
      <c r="A84" s="43" t="s">
        <v>1485</v>
      </c>
      <c r="B84" t="s">
        <v>893</v>
      </c>
      <c r="C84" s="1715">
        <f ca="1">Performance!AM100</f>
        <v>3.1319478768229887E-2</v>
      </c>
    </row>
    <row r="85" spans="1:3" ht="16.5" x14ac:dyDescent="0.3">
      <c r="A85" s="43" t="s">
        <v>1486</v>
      </c>
      <c r="B85" t="s">
        <v>893</v>
      </c>
      <c r="C85" s="1715">
        <f ca="1">Performance!AM101</f>
        <v>2.5924715115403743E-2</v>
      </c>
    </row>
    <row r="86" spans="1:3" ht="16.5" x14ac:dyDescent="0.3">
      <c r="A86" s="43" t="s">
        <v>1487</v>
      </c>
      <c r="B86" t="s">
        <v>893</v>
      </c>
      <c r="C86" s="1715">
        <f ca="1">Performance!AM102</f>
        <v>2.1094101051758164E-2</v>
      </c>
    </row>
    <row r="87" spans="1:3" ht="16.5" x14ac:dyDescent="0.3">
      <c r="A87" s="43" t="s">
        <v>1488</v>
      </c>
      <c r="B87" t="s">
        <v>893</v>
      </c>
      <c r="C87" s="1715">
        <f ca="1">Performance!AM103</f>
        <v>1.687692813234935E-2</v>
      </c>
    </row>
    <row r="88" spans="1:3" ht="16.5" x14ac:dyDescent="0.3">
      <c r="A88" s="43" t="s">
        <v>1489</v>
      </c>
      <c r="B88" t="s">
        <v>893</v>
      </c>
      <c r="C88" s="1715">
        <f ca="1">Performance!AM104</f>
        <v>1.3280937554451462E-2</v>
      </c>
    </row>
    <row r="89" spans="1:3" ht="16.5" x14ac:dyDescent="0.3">
      <c r="A89" s="43" t="s">
        <v>1490</v>
      </c>
      <c r="B89" t="s">
        <v>893</v>
      </c>
      <c r="C89" s="1715">
        <f ca="1">Performance!AM105</f>
        <v>1.0281777605499176E-2</v>
      </c>
    </row>
    <row r="90" spans="1:3" ht="16.5" x14ac:dyDescent="0.3">
      <c r="A90" s="43" t="s">
        <v>1491</v>
      </c>
      <c r="B90" t="s">
        <v>893</v>
      </c>
      <c r="C90" s="1715">
        <f ca="1">Performance!AM106</f>
        <v>7.8324836429980952E-3</v>
      </c>
    </row>
    <row r="91" spans="1:3" ht="16.5" x14ac:dyDescent="0.3">
      <c r="A91" s="43" t="s">
        <v>1492</v>
      </c>
      <c r="B91" t="s">
        <v>893</v>
      </c>
      <c r="C91" s="1715">
        <f ca="1">Performance!AM107</f>
        <v>5.8721763323969882E-3</v>
      </c>
    </row>
    <row r="92" spans="1:3" ht="16.5" x14ac:dyDescent="0.3">
      <c r="A92" s="43" t="s">
        <v>1493</v>
      </c>
      <c r="B92" t="s">
        <v>893</v>
      </c>
      <c r="C92" s="1715">
        <f ca="1">Performance!AM108</f>
        <v>4.333453011022277E-3</v>
      </c>
    </row>
    <row r="170" spans="17:19" x14ac:dyDescent="0.3">
      <c r="Q170" s="870"/>
      <c r="R170" s="119"/>
      <c r="S170" s="102"/>
    </row>
    <row r="171" spans="17:19" x14ac:dyDescent="0.3">
      <c r="Q171" s="369"/>
      <c r="R171" s="119"/>
      <c r="S171" s="102"/>
    </row>
    <row r="172" spans="17:19" x14ac:dyDescent="0.3">
      <c r="Q172" s="369"/>
      <c r="R172" s="119"/>
      <c r="S172" s="102"/>
    </row>
    <row r="173" spans="17:19" x14ac:dyDescent="0.3">
      <c r="Q173" s="369"/>
      <c r="R173" s="119"/>
      <c r="S173" s="102"/>
    </row>
    <row r="174" spans="17:19" x14ac:dyDescent="0.3">
      <c r="Q174" s="870"/>
      <c r="R174" s="119"/>
      <c r="S174" s="102"/>
    </row>
    <row r="175" spans="17:19" x14ac:dyDescent="0.3">
      <c r="Q175" s="870"/>
      <c r="R175" s="119"/>
      <c r="S175" s="102"/>
    </row>
    <row r="190" spans="17:34" x14ac:dyDescent="0.3">
      <c r="Q190" s="119"/>
      <c r="R190" s="1554"/>
      <c r="S190" s="1554"/>
      <c r="T190" s="1558"/>
      <c r="U190" s="34"/>
      <c r="V190" s="1554"/>
      <c r="W190" s="1554"/>
      <c r="X190" s="1554"/>
      <c r="Y190" s="1554"/>
      <c r="Z190" s="1554"/>
      <c r="AA190" s="1554"/>
      <c r="AB190" s="34"/>
      <c r="AC190" s="1554"/>
      <c r="AD190" s="1554"/>
      <c r="AE190" s="1554"/>
      <c r="AF190" s="1554"/>
      <c r="AG190" s="119"/>
      <c r="AH190" s="119"/>
    </row>
    <row r="191" spans="17:34" x14ac:dyDescent="0.3">
      <c r="Q191" s="119"/>
      <c r="R191" s="119"/>
      <c r="S191" s="119"/>
      <c r="T191" s="119"/>
      <c r="U191" s="820"/>
      <c r="V191" s="119"/>
      <c r="W191" s="119"/>
      <c r="X191" s="119"/>
      <c r="Y191" s="119"/>
      <c r="Z191" s="83"/>
      <c r="AA191" s="119"/>
      <c r="AB191" s="820"/>
      <c r="AC191" s="119"/>
      <c r="AD191" s="119"/>
      <c r="AE191" s="119"/>
      <c r="AF191" s="119"/>
      <c r="AG191" s="119"/>
      <c r="AH191" s="119"/>
    </row>
    <row r="192" spans="17:34" x14ac:dyDescent="0.3">
      <c r="Q192" s="102"/>
      <c r="R192" s="102"/>
      <c r="S192" s="102"/>
      <c r="T192" s="102"/>
      <c r="U192" s="820"/>
      <c r="V192" s="119"/>
      <c r="W192" s="119"/>
      <c r="X192" s="102"/>
      <c r="Y192" s="369"/>
      <c r="Z192" s="83"/>
      <c r="AA192" s="710"/>
      <c r="AB192" s="820"/>
      <c r="AC192" s="119"/>
      <c r="AD192" s="710"/>
      <c r="AE192" s="119"/>
      <c r="AF192" s="119"/>
      <c r="AG192" s="378"/>
      <c r="AH192" s="710"/>
    </row>
    <row r="193" spans="17:34" x14ac:dyDescent="0.3">
      <c r="Q193" s="102"/>
      <c r="R193" s="102"/>
      <c r="S193" s="102"/>
      <c r="T193" s="102"/>
      <c r="U193" s="820"/>
      <c r="V193" s="119"/>
      <c r="W193" s="119"/>
      <c r="X193" s="102"/>
      <c r="Y193" s="369"/>
      <c r="Z193" s="83"/>
      <c r="AA193" s="710"/>
      <c r="AB193" s="820"/>
      <c r="AC193" s="119"/>
      <c r="AD193" s="710"/>
      <c r="AE193" s="119"/>
      <c r="AF193" s="714"/>
      <c r="AG193" s="369"/>
      <c r="AH193" s="710"/>
    </row>
    <row r="194" spans="17:34" x14ac:dyDescent="0.3">
      <c r="Q194" s="102"/>
      <c r="R194" s="102"/>
      <c r="S194" s="102"/>
      <c r="T194" s="102"/>
      <c r="U194" s="820"/>
      <c r="V194" s="119"/>
      <c r="W194" s="714"/>
      <c r="X194" s="102"/>
      <c r="Y194" s="369"/>
      <c r="Z194" s="83"/>
      <c r="AA194" s="1580"/>
      <c r="AB194" s="820"/>
      <c r="AC194" s="119"/>
      <c r="AD194" s="710"/>
      <c r="AE194" s="119"/>
      <c r="AF194" s="714"/>
      <c r="AG194" s="378"/>
      <c r="AH194" s="710"/>
    </row>
    <row r="195" spans="17:34" x14ac:dyDescent="0.3">
      <c r="Q195" s="102"/>
      <c r="R195" s="102"/>
      <c r="S195" s="102"/>
      <c r="T195" s="102"/>
      <c r="U195" s="820"/>
      <c r="V195" s="119"/>
      <c r="W195" s="119"/>
      <c r="X195" s="102"/>
      <c r="Y195" s="369"/>
      <c r="Z195" s="83"/>
      <c r="AA195" s="710"/>
      <c r="AB195" s="820"/>
      <c r="AC195" s="119"/>
      <c r="AD195" s="710"/>
      <c r="AE195" s="119"/>
      <c r="AF195" s="714"/>
      <c r="AG195" s="378"/>
      <c r="AH195" s="710"/>
    </row>
    <row r="196" spans="17:34" x14ac:dyDescent="0.3">
      <c r="Q196" s="102"/>
      <c r="R196" s="102"/>
      <c r="S196" s="102"/>
      <c r="T196" s="102"/>
      <c r="U196" s="820"/>
      <c r="V196" s="119"/>
      <c r="W196" s="714"/>
      <c r="X196" s="102"/>
      <c r="Y196" s="369"/>
      <c r="Z196" s="83"/>
      <c r="AA196" s="710"/>
      <c r="AB196" s="820"/>
      <c r="AC196" s="119"/>
      <c r="AD196" s="710"/>
      <c r="AE196" s="119"/>
      <c r="AF196" s="714"/>
      <c r="AG196" s="378"/>
      <c r="AH196" s="710"/>
    </row>
    <row r="197" spans="17:34" x14ac:dyDescent="0.3">
      <c r="Q197" s="102"/>
      <c r="R197" s="102"/>
      <c r="S197" s="102"/>
      <c r="T197" s="102"/>
      <c r="U197" s="820"/>
      <c r="V197" s="119"/>
      <c r="W197" s="119"/>
      <c r="X197" s="102"/>
      <c r="Y197" s="119"/>
      <c r="Z197" s="119"/>
      <c r="AA197" s="119"/>
      <c r="AB197" s="820"/>
      <c r="AC197" s="119"/>
      <c r="AD197" s="841"/>
      <c r="AE197" s="119"/>
      <c r="AF197" s="714"/>
      <c r="AG197" s="369"/>
      <c r="AH197" s="710"/>
    </row>
    <row r="198" spans="17:34" x14ac:dyDescent="0.3">
      <c r="Q198" s="102"/>
      <c r="R198" s="102"/>
      <c r="S198" s="102"/>
      <c r="T198" s="102"/>
      <c r="U198" s="820"/>
      <c r="V198" s="119"/>
      <c r="W198" s="714"/>
      <c r="X198" s="102"/>
      <c r="Y198" s="369"/>
      <c r="Z198" s="83"/>
      <c r="AA198" s="710"/>
      <c r="AB198" s="820"/>
      <c r="AC198" s="119"/>
      <c r="AD198" s="710"/>
      <c r="AE198" s="119"/>
      <c r="AF198" s="714"/>
      <c r="AG198" s="369"/>
      <c r="AH198" s="710"/>
    </row>
    <row r="199" spans="17:34" x14ac:dyDescent="0.3">
      <c r="Q199" s="102"/>
      <c r="R199" s="102"/>
      <c r="S199" s="102"/>
      <c r="T199" s="102"/>
      <c r="U199" s="820"/>
      <c r="V199" s="119"/>
      <c r="W199" s="714"/>
      <c r="X199" s="102"/>
      <c r="Y199" s="378"/>
      <c r="Z199" s="714"/>
      <c r="AA199" s="710"/>
      <c r="AB199" s="820"/>
      <c r="AC199" s="119"/>
      <c r="AD199" s="710"/>
      <c r="AE199" s="119"/>
      <c r="AF199" s="714"/>
      <c r="AG199" s="378"/>
      <c r="AH199" s="710"/>
    </row>
    <row r="200" spans="17:34" x14ac:dyDescent="0.3">
      <c r="Q200" s="196"/>
      <c r="R200" s="1583"/>
      <c r="S200" s="1583"/>
      <c r="T200" s="102"/>
      <c r="U200" s="820"/>
      <c r="V200" s="119"/>
      <c r="W200" s="714"/>
      <c r="X200" s="102"/>
      <c r="Y200" s="378"/>
      <c r="Z200" s="708"/>
      <c r="AA200" s="710"/>
      <c r="AB200" s="820"/>
      <c r="AC200" s="119"/>
      <c r="AD200" s="710"/>
      <c r="AE200" s="119"/>
      <c r="AF200" s="714"/>
      <c r="AG200" s="378"/>
      <c r="AH200" s="710"/>
    </row>
    <row r="201" spans="17:34" x14ac:dyDescent="0.3">
      <c r="Q201" s="196"/>
      <c r="R201" s="1583"/>
      <c r="S201" s="1583"/>
      <c r="T201" s="102"/>
      <c r="U201" s="820"/>
      <c r="V201" s="119"/>
      <c r="W201" s="714"/>
      <c r="X201" s="102"/>
      <c r="Y201" s="378"/>
      <c r="Z201" s="708"/>
      <c r="AA201" s="710"/>
      <c r="AB201" s="820"/>
      <c r="AC201" s="119"/>
      <c r="AD201" s="710"/>
      <c r="AE201" s="119"/>
      <c r="AF201" s="714"/>
      <c r="AG201" s="378"/>
      <c r="AH201" s="710"/>
    </row>
    <row r="202" spans="17:34" x14ac:dyDescent="0.3">
      <c r="Q202" s="196"/>
      <c r="R202" s="1583"/>
      <c r="S202" s="1583"/>
      <c r="T202" s="102"/>
      <c r="U202" s="820"/>
      <c r="V202" s="119"/>
      <c r="W202" s="714"/>
      <c r="X202" s="102"/>
      <c r="Y202" s="378"/>
      <c r="Z202" s="708"/>
      <c r="AA202" s="710"/>
      <c r="AB202" s="820"/>
      <c r="AC202" s="119"/>
      <c r="AD202" s="710"/>
      <c r="AE202" s="119"/>
      <c r="AF202" s="714"/>
      <c r="AG202" s="378"/>
      <c r="AH202" s="710"/>
    </row>
    <row r="205" spans="17:34" x14ac:dyDescent="0.3">
      <c r="Q205" s="1554"/>
      <c r="R205" s="1558"/>
      <c r="S205" s="34"/>
      <c r="T205" s="1554"/>
    </row>
    <row r="207" spans="17:34" x14ac:dyDescent="0.3">
      <c r="Q207" s="710"/>
      <c r="R207" s="820"/>
      <c r="S207" s="820"/>
      <c r="T207" s="119"/>
    </row>
    <row r="240" spans="17:34" x14ac:dyDescent="0.3">
      <c r="Q240" s="102"/>
      <c r="R240" s="102"/>
      <c r="S240" s="102"/>
      <c r="T240" s="102"/>
      <c r="U240" s="820"/>
      <c r="V240" s="714"/>
      <c r="W240" s="714"/>
      <c r="X240" s="102"/>
      <c r="Y240" s="369"/>
      <c r="Z240" s="907"/>
      <c r="AA240" s="906"/>
      <c r="AB240" s="820"/>
      <c r="AC240" s="119"/>
      <c r="AD240" s="710"/>
      <c r="AE240" s="119"/>
      <c r="AF240" s="714"/>
      <c r="AG240" s="369"/>
      <c r="AH240" s="710"/>
    </row>
    <row r="473" spans="17:17" x14ac:dyDescent="0.3">
      <c r="Q473" s="1492"/>
    </row>
    <row r="474" spans="17:17" x14ac:dyDescent="0.3">
      <c r="Q474" s="25"/>
    </row>
    <row r="475" spans="17:17" x14ac:dyDescent="0.3">
      <c r="Q475" s="820"/>
    </row>
    <row r="476" spans="17:17" x14ac:dyDescent="0.3">
      <c r="Q476" s="1698"/>
    </row>
    <row r="477" spans="17:17" x14ac:dyDescent="0.3">
      <c r="Q477" s="1554"/>
    </row>
    <row r="478" spans="17:17" x14ac:dyDescent="0.3">
      <c r="Q478" s="1522"/>
    </row>
    <row r="479" spans="17:17" x14ac:dyDescent="0.3">
      <c r="Q479" s="1700"/>
    </row>
    <row r="480" spans="17:17" x14ac:dyDescent="0.3">
      <c r="Q480" s="1701"/>
    </row>
    <row r="481" spans="17:17" x14ac:dyDescent="0.3">
      <c r="Q481" s="1702"/>
    </row>
    <row r="482" spans="17:17" x14ac:dyDescent="0.3">
      <c r="Q482" s="1700"/>
    </row>
    <row r="483" spans="17:17" x14ac:dyDescent="0.3">
      <c r="Q483" s="795"/>
    </row>
    <row r="484" spans="17:17" x14ac:dyDescent="0.3">
      <c r="Q484" s="1522"/>
    </row>
    <row r="485" spans="17:17" x14ac:dyDescent="0.3">
      <c r="Q485" s="1554"/>
    </row>
    <row r="486" spans="17:17" x14ac:dyDescent="0.3">
      <c r="Q486" s="1522"/>
    </row>
    <row r="487" spans="17:17" x14ac:dyDescent="0.3">
      <c r="Q487" s="1522"/>
    </row>
    <row r="488" spans="17:17" x14ac:dyDescent="0.3">
      <c r="Q488" s="1703"/>
    </row>
    <row r="489" spans="17:17" x14ac:dyDescent="0.3">
      <c r="Q489" s="1554"/>
    </row>
    <row r="490" spans="17:17" x14ac:dyDescent="0.3">
      <c r="Q490" s="140"/>
    </row>
    <row r="491" spans="17:17" x14ac:dyDescent="0.3">
      <c r="Q491" s="1703"/>
    </row>
    <row r="492" spans="17:17" x14ac:dyDescent="0.3">
      <c r="Q492" s="1704"/>
    </row>
    <row r="493" spans="17:17" x14ac:dyDescent="0.3">
      <c r="Q493" s="27"/>
    </row>
    <row r="494" spans="17:17" x14ac:dyDescent="0.3">
      <c r="Q494" s="1522"/>
    </row>
    <row r="495" spans="17:17" x14ac:dyDescent="0.3">
      <c r="Q495" s="1700"/>
    </row>
    <row r="496" spans="17:17" x14ac:dyDescent="0.3">
      <c r="Q496" s="1700"/>
    </row>
    <row r="497" spans="17:17" x14ac:dyDescent="0.3">
      <c r="Q497" s="1700"/>
    </row>
    <row r="498" spans="17:17" x14ac:dyDescent="0.3">
      <c r="Q498" s="1554"/>
    </row>
    <row r="499" spans="17:17" x14ac:dyDescent="0.3">
      <c r="Q499" s="1522"/>
    </row>
    <row r="500" spans="17:17" x14ac:dyDescent="0.3">
      <c r="Q500" s="1699"/>
    </row>
    <row r="501" spans="17:17" x14ac:dyDescent="0.3">
      <c r="Q501" s="1699"/>
    </row>
    <row r="502" spans="17:17" x14ac:dyDescent="0.3">
      <c r="Q502" s="1699"/>
    </row>
    <row r="503" spans="17:17" x14ac:dyDescent="0.3">
      <c r="Q503" s="1699"/>
    </row>
    <row r="504" spans="17:17" x14ac:dyDescent="0.3">
      <c r="Q504" s="1699"/>
    </row>
    <row r="505" spans="17:17" x14ac:dyDescent="0.3">
      <c r="Q505" s="1699"/>
    </row>
    <row r="506" spans="17:17" x14ac:dyDescent="0.3">
      <c r="Q506" s="1699"/>
    </row>
    <row r="507" spans="17:17" x14ac:dyDescent="0.3">
      <c r="Q507" s="1522"/>
    </row>
    <row r="508" spans="17:17" x14ac:dyDescent="0.3">
      <c r="Q508" s="1705"/>
    </row>
    <row r="509" spans="17:17" x14ac:dyDescent="0.3">
      <c r="Q509" s="1706"/>
    </row>
    <row r="510" spans="17:17" x14ac:dyDescent="0.3">
      <c r="Q510" s="1522"/>
    </row>
    <row r="511" spans="17:17" x14ac:dyDescent="0.3">
      <c r="Q511" s="1522"/>
    </row>
    <row r="512" spans="17:17" x14ac:dyDescent="0.3">
      <c r="Q512" s="1702"/>
    </row>
    <row r="513" spans="17:17" x14ac:dyDescent="0.3">
      <c r="Q513" s="1702"/>
    </row>
    <row r="514" spans="17:17" x14ac:dyDescent="0.3">
      <c r="Q514" s="1707"/>
    </row>
    <row r="515" spans="17:17" x14ac:dyDescent="0.3">
      <c r="Q515" s="1708"/>
    </row>
    <row r="516" spans="17:17" x14ac:dyDescent="0.3">
      <c r="Q516" s="1709"/>
    </row>
    <row r="517" spans="17:17" x14ac:dyDescent="0.3">
      <c r="Q517" s="1709"/>
    </row>
    <row r="518" spans="17:17" x14ac:dyDescent="0.3">
      <c r="Q518" s="1709"/>
    </row>
    <row r="519" spans="17:17" x14ac:dyDescent="0.3">
      <c r="Q519" s="1710"/>
    </row>
    <row r="520" spans="17:17" x14ac:dyDescent="0.3">
      <c r="Q520" s="1711"/>
    </row>
    <row r="521" spans="17:17" x14ac:dyDescent="0.3">
      <c r="Q521" s="1522"/>
    </row>
    <row r="522" spans="17:17" x14ac:dyDescent="0.3">
      <c r="Q522" s="1522"/>
    </row>
    <row r="523" spans="17:17" x14ac:dyDescent="0.3">
      <c r="Q523" s="1522"/>
    </row>
    <row r="524" spans="17:17" x14ac:dyDescent="0.3">
      <c r="Q524" s="1522"/>
    </row>
    <row r="525" spans="17:17" x14ac:dyDescent="0.3">
      <c r="Q525" s="1700"/>
    </row>
    <row r="526" spans="17:17" x14ac:dyDescent="0.3">
      <c r="Q526" s="1522"/>
    </row>
    <row r="527" spans="17:17" x14ac:dyDescent="0.3">
      <c r="Q527" s="1712"/>
    </row>
    <row r="528" spans="17:17" x14ac:dyDescent="0.3">
      <c r="Q528" s="1522"/>
    </row>
    <row r="529" spans="17:17" x14ac:dyDescent="0.3">
      <c r="Q529" s="1522"/>
    </row>
    <row r="530" spans="17:17" x14ac:dyDescent="0.3">
      <c r="Q530" s="1522"/>
    </row>
    <row r="531" spans="17:17" x14ac:dyDescent="0.3">
      <c r="Q531" s="1522"/>
    </row>
    <row r="532" spans="17:17" x14ac:dyDescent="0.3">
      <c r="Q532" s="1522"/>
    </row>
    <row r="533" spans="17:17" x14ac:dyDescent="0.3">
      <c r="Q533" s="1522"/>
    </row>
    <row r="534" spans="17:17" x14ac:dyDescent="0.3">
      <c r="Q534" s="1522"/>
    </row>
    <row r="535" spans="17:17" x14ac:dyDescent="0.3">
      <c r="Q535" s="1522"/>
    </row>
    <row r="536" spans="17:17" x14ac:dyDescent="0.3">
      <c r="Q536" s="1554"/>
    </row>
    <row r="537" spans="17:17" x14ac:dyDescent="0.3">
      <c r="Q537" s="1522"/>
    </row>
    <row r="538" spans="17:17" x14ac:dyDescent="0.3">
      <c r="Q538" s="1522"/>
    </row>
    <row r="539" spans="17:17" x14ac:dyDescent="0.3">
      <c r="Q539" s="1522"/>
    </row>
    <row r="540" spans="17:17" x14ac:dyDescent="0.3">
      <c r="Q540" s="33"/>
    </row>
    <row r="541" spans="17:17" x14ac:dyDescent="0.3">
      <c r="Q541" s="33"/>
    </row>
    <row r="542" spans="17:17" x14ac:dyDescent="0.3">
      <c r="Q542" s="33"/>
    </row>
  </sheetData>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6" baseType="variant">
      <vt:variant>
        <vt:lpstr>Worksheets</vt:lpstr>
      </vt:variant>
      <vt:variant>
        <vt:i4>20</vt:i4>
      </vt:variant>
      <vt:variant>
        <vt:lpstr>Charts</vt:lpstr>
      </vt:variant>
      <vt:variant>
        <vt:i4>1</vt:i4>
      </vt:variant>
      <vt:variant>
        <vt:lpstr>Named Ranges</vt:lpstr>
      </vt:variant>
      <vt:variant>
        <vt:i4>168</vt:i4>
      </vt:variant>
    </vt:vector>
  </HeadingPairs>
  <TitlesOfParts>
    <vt:vector size="189" baseType="lpstr">
      <vt:lpstr>Version history</vt:lpstr>
      <vt:lpstr>Readme</vt:lpstr>
      <vt:lpstr>Lists</vt:lpstr>
      <vt:lpstr>KPIs</vt:lpstr>
      <vt:lpstr>KPI chart</vt:lpstr>
      <vt:lpstr>Overrides</vt:lpstr>
      <vt:lpstr>Inputs</vt:lpstr>
      <vt:lpstr>Sheet1</vt:lpstr>
      <vt:lpstr>Scenarios</vt:lpstr>
      <vt:lpstr>Analysis</vt:lpstr>
      <vt:lpstr>LCOE analysis</vt:lpstr>
      <vt:lpstr>Program BP</vt:lpstr>
      <vt:lpstr>DevCost</vt:lpstr>
      <vt:lpstr>Capex &amp; Opex</vt:lpstr>
      <vt:lpstr>Performance</vt:lpstr>
      <vt:lpstr>Solver</vt:lpstr>
      <vt:lpstr>MeanWindAngle</vt:lpstr>
      <vt:lpstr>Mass dependency</vt:lpstr>
      <vt:lpstr>Simple models</vt:lpstr>
      <vt:lpstr>Outputs</vt:lpstr>
      <vt:lpstr>Rishi</vt:lpstr>
      <vt:lpstr>A</vt:lpstr>
      <vt:lpstr>acc</vt:lpstr>
      <vt:lpstr>AEP</vt:lpstr>
      <vt:lpstr>AEP_inclDowntime</vt:lpstr>
      <vt:lpstr>AEP_noElecLoss</vt:lpstr>
      <vt:lpstr>AEP_noMechLoss</vt:lpstr>
      <vt:lpstr>Ampyx_WACC</vt:lpstr>
      <vt:lpstr>Ampyx_WACC_nr</vt:lpstr>
      <vt:lpstr>Ampyx_WACC_override</vt:lpstr>
      <vt:lpstr>Ampyx_WACC_selected</vt:lpstr>
      <vt:lpstr>Ampyx_WACCs</vt:lpstr>
      <vt:lpstr>average_wage</vt:lpstr>
      <vt:lpstr>avg_speed</vt:lpstr>
      <vt:lpstr>avg_wind_speed</vt:lpstr>
      <vt:lpstr>avg_wind_speed_nr</vt:lpstr>
      <vt:lpstr>avg_wind_speed_override</vt:lpstr>
      <vt:lpstr>avg_wind_speeds</vt:lpstr>
      <vt:lpstr>AWES_capex</vt:lpstr>
      <vt:lpstr>AWES_margin</vt:lpstr>
      <vt:lpstr>AWES_margin_nr</vt:lpstr>
      <vt:lpstr>AWES_margin_override</vt:lpstr>
      <vt:lpstr>AWES_margin_selected</vt:lpstr>
      <vt:lpstr>AWES_margins</vt:lpstr>
      <vt:lpstr>AWES_power</vt:lpstr>
      <vt:lpstr>AWES_power_nr</vt:lpstr>
      <vt:lpstr>AWES_powers</vt:lpstr>
      <vt:lpstr>b</vt:lpstr>
      <vt:lpstr>Outputs!backendRefUnitCost</vt:lpstr>
      <vt:lpstr>backendRefUnitCost</vt:lpstr>
      <vt:lpstr>cable_mass</vt:lpstr>
      <vt:lpstr>CapFac</vt:lpstr>
      <vt:lpstr>CD</vt:lpstr>
      <vt:lpstr>CL</vt:lpstr>
      <vt:lpstr>Outputs!cph</vt:lpstr>
      <vt:lpstr>cph</vt:lpstr>
      <vt:lpstr>Outputs!ctrlElecRefUnitCost</vt:lpstr>
      <vt:lpstr>ctrlElecRefUnitCost</vt:lpstr>
      <vt:lpstr>Dphi</vt:lpstr>
      <vt:lpstr>drivers</vt:lpstr>
      <vt:lpstr>Elec_price</vt:lpstr>
      <vt:lpstr>employer_contributions</vt:lpstr>
      <vt:lpstr>experience_factor_nr</vt:lpstr>
      <vt:lpstr>experience_factor_selected</vt:lpstr>
      <vt:lpstr>experience_factors</vt:lpstr>
      <vt:lpstr>gen_letter</vt:lpstr>
      <vt:lpstr>gen_type</vt:lpstr>
      <vt:lpstr>gen_type_nr</vt:lpstr>
      <vt:lpstr>gen_types</vt:lpstr>
      <vt:lpstr>Outputs!generatorRefUnitCost</vt:lpstr>
      <vt:lpstr>generatorRefUnitCost</vt:lpstr>
      <vt:lpstr>greenfield</vt:lpstr>
      <vt:lpstr>horizon</vt:lpstr>
      <vt:lpstr>Horizon_nr</vt:lpstr>
      <vt:lpstr>horizon_override</vt:lpstr>
      <vt:lpstr>Horizon_selected</vt:lpstr>
      <vt:lpstr>Horizons</vt:lpstr>
      <vt:lpstr>KPIs!indicator</vt:lpstr>
      <vt:lpstr>indicator</vt:lpstr>
      <vt:lpstr>indicator_nr</vt:lpstr>
      <vt:lpstr>indicator_value</vt:lpstr>
      <vt:lpstr>indicators</vt:lpstr>
      <vt:lpstr>inflation</vt:lpstr>
      <vt:lpstr>'KPI chart'!KPI_indicator</vt:lpstr>
      <vt:lpstr>KPIs!KPI_indicator</vt:lpstr>
      <vt:lpstr>KPI_indicators</vt:lpstr>
      <vt:lpstr>L</vt:lpstr>
      <vt:lpstr>LCOE</vt:lpstr>
      <vt:lpstr>Mp</vt:lpstr>
      <vt:lpstr>Mp_override</vt:lpstr>
      <vt:lpstr>Mp_t</vt:lpstr>
      <vt:lpstr>multiwingapproach</vt:lpstr>
      <vt:lpstr>N</vt:lpstr>
      <vt:lpstr>N_override</vt:lpstr>
      <vt:lpstr>Outputs!No</vt:lpstr>
      <vt:lpstr>No</vt:lpstr>
      <vt:lpstr>offshore</vt:lpstr>
      <vt:lpstr>offshore_floating</vt:lpstr>
      <vt:lpstr>P</vt:lpstr>
      <vt:lpstr>P_level</vt:lpstr>
      <vt:lpstr>P_level_nr</vt:lpstr>
      <vt:lpstr>P_level_override</vt:lpstr>
      <vt:lpstr>P_levels</vt:lpstr>
      <vt:lpstr>Park_AEP</vt:lpstr>
      <vt:lpstr>park_size</vt:lpstr>
      <vt:lpstr>park_size_nr</vt:lpstr>
      <vt:lpstr>park_sizes</vt:lpstr>
      <vt:lpstr>peak_Mpwr_ratio</vt:lpstr>
      <vt:lpstr>PhiR</vt:lpstr>
      <vt:lpstr>Pp</vt:lpstr>
      <vt:lpstr>Project_WACC</vt:lpstr>
      <vt:lpstr>Project_WACC_nr</vt:lpstr>
      <vt:lpstr>Project_WACC_override</vt:lpstr>
      <vt:lpstr>Project_WACC_selected</vt:lpstr>
      <vt:lpstr>Project_WACCs</vt:lpstr>
      <vt:lpstr>Q</vt:lpstr>
      <vt:lpstr>Q_override</vt:lpstr>
      <vt:lpstr>Q_prototype</vt:lpstr>
      <vt:lpstr>Q_prototypes</vt:lpstr>
      <vt:lpstr>Outputs!Qo</vt:lpstr>
      <vt:lpstr>Qo</vt:lpstr>
      <vt:lpstr>Qoffshore</vt:lpstr>
      <vt:lpstr>quantities</vt:lpstr>
      <vt:lpstr>quantity</vt:lpstr>
      <vt:lpstr>quantity_nr</vt:lpstr>
      <vt:lpstr>ref_speed</vt:lpstr>
      <vt:lpstr>ref_wind_speed</vt:lpstr>
      <vt:lpstr>ref_wind_speed_nr</vt:lpstr>
      <vt:lpstr>ref_wind_speed_override</vt:lpstr>
      <vt:lpstr>ref_wind_speeds</vt:lpstr>
      <vt:lpstr>ref_wing_area</vt:lpstr>
      <vt:lpstr>Revenues</vt:lpstr>
      <vt:lpstr>rho</vt:lpstr>
      <vt:lpstr>scaling_factor_nr</vt:lpstr>
      <vt:lpstr>scaling_factor_selected</vt:lpstr>
      <vt:lpstr>scaling_factors</vt:lpstr>
      <vt:lpstr>scenario</vt:lpstr>
      <vt:lpstr>scenario_nr</vt:lpstr>
      <vt:lpstr>scenario_size</vt:lpstr>
      <vt:lpstr>scenario_size_nr</vt:lpstr>
      <vt:lpstr>scenario_sizes</vt:lpstr>
      <vt:lpstr>scenarios</vt:lpstr>
      <vt:lpstr>sigma</vt:lpstr>
      <vt:lpstr>Solver_P</vt:lpstr>
      <vt:lpstr>Solver_Tmax</vt:lpstr>
      <vt:lpstr>Solver_wingarea</vt:lpstr>
      <vt:lpstr>SP_margin</vt:lpstr>
      <vt:lpstr>SP_margin_nr</vt:lpstr>
      <vt:lpstr>SP_margin_override</vt:lpstr>
      <vt:lpstr>SP_margin_selected</vt:lpstr>
      <vt:lpstr>SP_margins</vt:lpstr>
      <vt:lpstr>Outputs!steelworkRefUnitCost</vt:lpstr>
      <vt:lpstr>steelworkRefUnitCost</vt:lpstr>
      <vt:lpstr>Outputs!storageRefUnitCost</vt:lpstr>
      <vt:lpstr>storageRefUnitCost</vt:lpstr>
      <vt:lpstr>Theta</vt:lpstr>
      <vt:lpstr>theta_nr</vt:lpstr>
      <vt:lpstr>theta_override</vt:lpstr>
      <vt:lpstr>theta_selected</vt:lpstr>
      <vt:lpstr>thetas</vt:lpstr>
      <vt:lpstr>Tmax_p</vt:lpstr>
      <vt:lpstr>Tmax_p_ratio</vt:lpstr>
      <vt:lpstr>Tmax_t</vt:lpstr>
      <vt:lpstr>Tp_level</vt:lpstr>
      <vt:lpstr>Tp_level_nr</vt:lpstr>
      <vt:lpstr>Tp_level_override</vt:lpstr>
      <vt:lpstr>Tp_levels</vt:lpstr>
      <vt:lpstr>Tt_level</vt:lpstr>
      <vt:lpstr>Tt_level_nr</vt:lpstr>
      <vt:lpstr>Tt_level_override</vt:lpstr>
      <vt:lpstr>Tt_levels</vt:lpstr>
      <vt:lpstr>unit_power</vt:lpstr>
      <vt:lpstr>unit_power_nr</vt:lpstr>
      <vt:lpstr>unit_powers</vt:lpstr>
      <vt:lpstr>vRImax</vt:lpstr>
      <vt:lpstr>WACC</vt:lpstr>
      <vt:lpstr>Outputs!whpy</vt:lpstr>
      <vt:lpstr>whpy</vt:lpstr>
      <vt:lpstr>wing_area</vt:lpstr>
      <vt:lpstr>wing_area_override</vt:lpstr>
      <vt:lpstr>Outputs!Wo</vt:lpstr>
      <vt:lpstr>Wo</vt:lpstr>
      <vt:lpstr>X_axis</vt:lpstr>
      <vt:lpstr>X_axis_nr</vt:lpstr>
      <vt:lpstr>X_axis_value</vt:lpstr>
      <vt:lpstr>Y_axis</vt:lpstr>
      <vt:lpstr>Y_axis_nr</vt:lpstr>
      <vt:lpstr>Y_axis_value</vt:lpstr>
      <vt:lpstr>yearlyDowntime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Michiel Kruijff</dc:creator>
  <cp:lastModifiedBy>Rishikesh Joshi</cp:lastModifiedBy>
  <cp:lastPrinted>2020-06-23T20:52:52Z</cp:lastPrinted>
  <dcterms:created xsi:type="dcterms:W3CDTF">2020-04-23T10:59:14Z</dcterms:created>
  <dcterms:modified xsi:type="dcterms:W3CDTF">2022-10-21T16:01:44Z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4a3fb6f5-c4ad-4f9c-9222-63a0177a0b68</vt:lpwstr>
  </property>
</Properties>
</file>